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puts" sheetId="1" state="visible" r:id="rId3"/>
    <sheet name="Summary" sheetId="2" state="visible" r:id="rId4"/>
    <sheet name="Sizing" sheetId="3" state="visible" r:id="rId5"/>
    <sheet name="Schedule" sheetId="4" state="visible" r:id="rId6"/>
  </sheets>
  <definedNames>
    <definedName function="false" hidden="true" localSheetId="3" name="_xlnm._FilterDatabase" vbProcedure="false">Schedule!$A$5:$I$365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<sst xmlns="http://schemas.openxmlformats.org/spreadsheetml/2006/main" count="120" uniqueCount="101">
  <si>
    <t xml:space="preserve">Apartment Cash-Out Refinance Inputs</t>
  </si>
  <si>
    <t xml:space="preserve">Yellow cells are yours. Everything else calculates. The example building is fictional.</t>
  </si>
  <si>
    <t xml:space="preserve">Property</t>
  </si>
  <si>
    <t xml:space="preserve">Property name</t>
  </si>
  <si>
    <t xml:space="preserve">Fictional Glenwood Park Apartments</t>
  </si>
  <si>
    <t xml:space="preserve">City, State</t>
  </si>
  <si>
    <t xml:space="preserve">Atlanta, GA</t>
  </si>
  <si>
    <t xml:space="preserve">Legal unit count</t>
  </si>
  <si>
    <t xml:space="preserve">County record, not the rent roll.</t>
  </si>
  <si>
    <t xml:space="preserve">Estimated value</t>
  </si>
  <si>
    <t xml:space="preserve">Current loan payoff</t>
  </si>
  <si>
    <t xml:space="preserve">Income (annual)</t>
  </si>
  <si>
    <t xml:space="preserve">Gross scheduled rent</t>
  </si>
  <si>
    <t xml:space="preserve">Other income</t>
  </si>
  <si>
    <t xml:space="preserve">Vacancy and credit loss</t>
  </si>
  <si>
    <t xml:space="preserve">Operating expenses (annual)</t>
  </si>
  <si>
    <t xml:space="preserve">Property taxes</t>
  </si>
  <si>
    <t xml:space="preserve">The bill after your purchase, not the seller's.</t>
  </si>
  <si>
    <t xml:space="preserve">Insurance</t>
  </si>
  <si>
    <t xml:space="preserve">Repairs and maintenance</t>
  </si>
  <si>
    <t xml:space="preserve">Property management</t>
  </si>
  <si>
    <t xml:space="preserve">Lenders assume 4% to 5% even if you self-manage.</t>
  </si>
  <si>
    <t xml:space="preserve">Utilities paid by owner</t>
  </si>
  <si>
    <t xml:space="preserve">Other expenses</t>
  </si>
  <si>
    <t xml:space="preserve">Replacement reserves per unit</t>
  </si>
  <si>
    <t xml:space="preserve">Deducted whether you spend it or not.</t>
  </si>
  <si>
    <t xml:space="preserve">Loan terms you want to test</t>
  </si>
  <si>
    <t xml:space="preserve">Interest rate (annual)</t>
  </si>
  <si>
    <t xml:space="preserve">The rate you want to test. This one is a placeholder.</t>
  </si>
  <si>
    <t xml:space="preserve">Amortization (years)</t>
  </si>
  <si>
    <t xml:space="preserve">First payment date</t>
  </si>
  <si>
    <t xml:space="preserve">Estimated closing costs (% of loan)</t>
  </si>
  <si>
    <t xml:space="preserve">Lender limits</t>
  </si>
  <si>
    <t xml:space="preserve">Maximum loan-to-value</t>
  </si>
  <si>
    <t xml:space="preserve">Minimum DSCR</t>
  </si>
  <si>
    <t xml:space="preserve">Prepayment structure</t>
  </si>
  <si>
    <t xml:space="preserve">5-4-3-2-1 step-down</t>
  </si>
  <si>
    <t xml:space="preserve">Month you expect to pay the loan off</t>
  </si>
  <si>
    <t xml:space="preserve">Only used for the penalty estimate.</t>
  </si>
  <si>
    <t xml:space="preserve">Built by Capituro. The rate is yours, not a quote. Send the rent roll for a real one: capituro.com/contact</t>
  </si>
  <si>
    <t xml:space="preserve">Apartment Cash-Out Refinance Calculator</t>
  </si>
  <si>
    <t xml:space="preserve">Change the Inputs sheet and this updates. The example building is fictional.</t>
  </si>
  <si>
    <t xml:space="preserve">The building</t>
  </si>
  <si>
    <t xml:space="preserve">The loan</t>
  </si>
  <si>
    <t xml:space="preserve">Loan supported by value</t>
  </si>
  <si>
    <t xml:space="preserve">Location</t>
  </si>
  <si>
    <t xml:space="preserve">Loan supported by cash flow</t>
  </si>
  <si>
    <t xml:space="preserve">Units</t>
  </si>
  <si>
    <t xml:space="preserve">Maximum loan amount</t>
  </si>
  <si>
    <t xml:space="preserve">Binding limit</t>
  </si>
  <si>
    <t xml:space="preserve">Effective gross income</t>
  </si>
  <si>
    <t xml:space="preserve">Monthly payment</t>
  </si>
  <si>
    <t xml:space="preserve">Net operating income</t>
  </si>
  <si>
    <t xml:space="preserve">DSCR at maximum loan</t>
  </si>
  <si>
    <t xml:space="preserve">Estimated cash to you</t>
  </si>
  <si>
    <t xml:space="preserve">Chart data</t>
  </si>
  <si>
    <t xml:space="preserve">Maximum loan</t>
  </si>
  <si>
    <t xml:space="preserve">How Much Loan the Building Supports</t>
  </si>
  <si>
    <t xml:space="preserve">The loan is the lower of two limits: value and cash flow. This sheet shows both.</t>
  </si>
  <si>
    <t xml:space="preserve">Less vacancy and credit loss</t>
  </si>
  <si>
    <t xml:space="preserve">Operating expenses</t>
  </si>
  <si>
    <t xml:space="preserve">Replacement reserves</t>
  </si>
  <si>
    <t xml:space="preserve">Net operating income (NOI)</t>
  </si>
  <si>
    <t xml:space="preserve">Expense ratio</t>
  </si>
  <si>
    <t xml:space="preserve">Limit 1: value</t>
  </si>
  <si>
    <t xml:space="preserve">Limit 2: cash flow</t>
  </si>
  <si>
    <t xml:space="preserve">Annual debt service the NOI can carry</t>
  </si>
  <si>
    <t xml:space="preserve">Monthly payment that allows</t>
  </si>
  <si>
    <t xml:space="preserve">Interest rate</t>
  </si>
  <si>
    <t xml:space="preserve">Amortization (months)</t>
  </si>
  <si>
    <t xml:space="preserve">Result</t>
  </si>
  <si>
    <t xml:space="preserve">Which limit is binding</t>
  </si>
  <si>
    <t xml:space="preserve">Raising the other one does nothing.</t>
  </si>
  <si>
    <t xml:space="preserve">Loan-to-value at that amount</t>
  </si>
  <si>
    <t xml:space="preserve">Monthly payment at that amount</t>
  </si>
  <si>
    <t xml:space="preserve">DSCR at that amount</t>
  </si>
  <si>
    <t xml:space="preserve">Less current loan payoff</t>
  </si>
  <si>
    <t xml:space="preserve">Less estimated closing costs</t>
  </si>
  <si>
    <t xml:space="preserve">Estimated cash to you at closing</t>
  </si>
  <si>
    <t xml:space="preserve">Before holdbacks, escrows, and any penalty on the old loan.</t>
  </si>
  <si>
    <t xml:space="preserve">What a half point of rate does to your proceeds</t>
  </si>
  <si>
    <t xml:space="preserve">Rate</t>
  </si>
  <si>
    <t xml:space="preserve">Cash to you</t>
  </si>
  <si>
    <t xml:space="preserve">Second row is your rate. If the loan does not move across rows, value is the limit.</t>
  </si>
  <si>
    <t xml:space="preserve">Prepayment penalty on the new loan</t>
  </si>
  <si>
    <t xml:space="preserve">Structure</t>
  </si>
  <si>
    <t xml:space="preserve">Month you expect to pay off</t>
  </si>
  <si>
    <t xml:space="preserve">Balance at that month</t>
  </si>
  <si>
    <t xml:space="preserve">Penalty percentage</t>
  </si>
  <si>
    <t xml:space="preserve">Estimated penalty</t>
  </si>
  <si>
    <t xml:space="preserve">Amortization Schedule With Prepayment Penalty by Month</t>
  </si>
  <si>
    <t xml:space="preserve">The maximum loan from Sizing, month by month, with the penalty to pay it off early.</t>
  </si>
  <si>
    <t xml:space="preserve">Month</t>
  </si>
  <si>
    <t xml:space="preserve">Payment date</t>
  </si>
  <si>
    <t xml:space="preserve">Beginning balance</t>
  </si>
  <si>
    <t xml:space="preserve">Payment</t>
  </si>
  <si>
    <t xml:space="preserve">Interest</t>
  </si>
  <si>
    <t xml:space="preserve">Principal</t>
  </si>
  <si>
    <t xml:space="preserve">Ending balance</t>
  </si>
  <si>
    <t xml:space="preserve">Prepay penalty %</t>
  </si>
  <si>
    <t xml:space="preserve">Cost to pay off this month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</si>
</sst>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"/>
    <numFmt numFmtId="166" formatCode="\$#,##0;[RED]&quot;-$&quot;#,##0"/>
    <numFmt numFmtId="167" formatCode="0.00%"/>
    <numFmt numFmtId="168" formatCode="mm/dd/yyyy"/>
    <numFmt numFmtId="169" formatCode="0.00\x"/>
    <numFmt numFmtId="170" formatCode="\$#,##0.00;[RED]&quot;-$&quot;#,##0.00"/>
    <numFmt numFmtId="171" formatCode="\$#,##0"/>
    <numFmt numFmtId="172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Georgia"/>
      <family val="0"/>
      <charset val="1"/>
    </font>
    <font>
      <i val="true"/>
      <sz val="9"/>
      <color rgb="FF465470"/>
      <name val="Georgia"/>
      <family val="0"/>
      <charset val="1"/>
    </font>
    <font>
      <b val="true"/>
      <sz val="10"/>
      <color rgb="FFFFFFFF"/>
      <name val="Georgia"/>
      <family val="0"/>
      <charset val="1"/>
    </font>
    <font>
      <b val="true"/>
      <sz val="10"/>
      <color rgb="FF0A1428"/>
      <name val="Georgia"/>
      <family val="0"/>
      <charset val="1"/>
    </font>
    <font>
      <sz val="10"/>
      <color rgb="FF0A1428"/>
      <name val="Georgia"/>
      <family val="0"/>
      <charset val="1"/>
    </font>
    <font>
      <b val="true"/>
      <sz val="12"/>
      <color rgb="FF0A1428"/>
      <name val="Georg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A1428"/>
        <bgColor rgb="FF000000"/>
      </patternFill>
    </fill>
    <fill>
      <patternFill patternType="solid">
        <fgColor rgb="FF2B3A55"/>
        <bgColor rgb="FF333399"/>
      </patternFill>
    </fill>
    <fill>
      <patternFill patternType="solid">
        <fgColor rgb="FFF6F7F8"/>
        <bgColor rgb="FFF9F9F9"/>
      </patternFill>
    </fill>
    <fill>
      <patternFill patternType="solid">
        <fgColor rgb="FFFFF4DD"/>
        <bgColor rgb="FFEEF7DC"/>
      </patternFill>
    </fill>
    <fill>
      <patternFill patternType="solid">
        <fgColor rgb="FFFFFFFF"/>
        <bgColor rgb="FFF9F9F9"/>
      </patternFill>
    </fill>
    <fill>
      <patternFill patternType="solid">
        <fgColor rgb="FFEEF7DC"/>
        <bgColor rgb="FFFFF4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FE2E8"/>
      </left>
      <right style="thin">
        <color rgb="FFDFE2E8"/>
      </right>
      <top style="thin">
        <color rgb="FFDFE2E8"/>
      </top>
      <bottom style="thin">
        <color rgb="FFDFE2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8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8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8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9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0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2B3A55"/>
          <bgColor rgb="FF000000"/>
        </patternFill>
      </fill>
    </dxf>
    <dxf>
      <fill>
        <patternFill patternType="solid">
          <fgColor rgb="FFEEF7DC"/>
          <bgColor rgb="FF000000"/>
        </patternFill>
      </fill>
    </dxf>
    <dxf>
      <fill>
        <patternFill patternType="solid">
          <fgColor rgb="FFF6F7F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A142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name val="Georgia"/>
        <charset val="1"/>
        <family val="0"/>
        <b val="1"/>
        <color rgb="FF0A1428"/>
      </font>
      <fill>
        <patternFill>
          <bgColor rgb="FFEEF7D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FE2E8"/>
      <rgbColor rgb="FF878787"/>
      <rgbColor rgb="FF9999FF"/>
      <rgbColor rgb="FF993366"/>
      <rgbColor rgb="FFFFF4DD"/>
      <rgbColor rgb="FFF6F7F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EEF7DC"/>
      <rgbColor rgb="FFFFFF99"/>
      <rgbColor rgb="FF99CCFF"/>
      <rgbColor rgb="FFFF99CC"/>
      <rgbColor rgb="FFCC99FF"/>
      <rgbColor rgb="FFFFCC99"/>
      <rgbColor rgb="FF3366FF"/>
      <rgbColor rgb="FF33CCCC"/>
      <rgbColor rgb="FF8DC63F"/>
      <rgbColor rgb="FFFFCC00"/>
      <rgbColor rgb="FFFF9900"/>
      <rgbColor rgb="FFFF6600"/>
      <rgbColor rgb="FF465470"/>
      <rgbColor rgb="FF969696"/>
      <rgbColor rgb="FF003366"/>
      <rgbColor rgb="FF339966"/>
      <rgbColor rgb="FF0A1428"/>
      <rgbColor rgb="FF333300"/>
      <rgbColor rgb="FF993300"/>
      <rgbColor rgb="FF993366"/>
      <rgbColor rgb="FF333399"/>
      <rgbColor rgb="FF2B3A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Which limit sets the loan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8dc63f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Summary!$A$15:$A$17</c:f>
              <c:strCache>
                <c:ptCount val="3"/>
                <c:pt idx="0">
                  <c:v>Loan supported by value</c:v>
                </c:pt>
                <c:pt idx="1">
                  <c:v>Loan supported by cash flow</c:v>
                </c:pt>
                <c:pt idx="2">
                  <c:v>Maximum loan</c:v>
                </c:pt>
              </c:strCache>
            </c:strRef>
          </c:cat>
          <c:val>
            <c:numRef>
              <c:f>Summary!$B$15:$B$17</c:f>
              <c:numCache>
                <c:formatCode>\$#,##0;[RED]"-$"#,##0</c:formatCode>
                <c:ptCount val="3"/>
                <c:pt idx="0">
                  <c:v>3300000</c:v>
                </c:pt>
                <c:pt idx="1">
                  <c:v>3310076.32714753</c:v>
                </c:pt>
                <c:pt idx="2">
                  <c:v>3300000</c:v>
                </c:pt>
              </c:numCache>
            </c:numRef>
          </c:val>
        </c:ser>
        <c:gapWidth val="150"/>
        <c:overlap val="0"/>
        <c:axId val="77741525"/>
        <c:axId val="2133316"/>
      </c:barChart>
      <c:catAx>
        <c:axId val="7774152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133316"/>
        <c:crosses val="autoZero"/>
        <c:auto val="1"/>
        <c:lblAlgn val="ctr"/>
        <c:lblOffset val="100"/>
        <c:noMultiLvlLbl val="0"/>
      </c:catAx>
      <c:valAx>
        <c:axId val="2133316"/>
        <c:scaling>
          <c:orientation val="minMax"/>
          <c:min val="0"/>
        </c:scaling>
        <c:delete val="0"/>
        <c:axPos val="l"/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74152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13</xdr:row>
      <xdr:rowOff>0</xdr:rowOff>
    </xdr:from>
    <xdr:to>
      <xdr:col>7</xdr:col>
      <xdr:colOff>395280</xdr:colOff>
      <xdr:row>25</xdr:row>
      <xdr:rowOff>176400</xdr:rowOff>
    </xdr:to>
    <xdr:graphicFrame>
      <xdr:nvGraphicFramePr>
        <xdr:cNvPr id="0" name="Chart 1"/>
        <xdr:cNvGraphicFramePr/>
      </xdr:nvGraphicFramePr>
      <xdr:xfrm>
        <a:off x="5004360" y="3181320"/>
        <a:ext cx="539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36"/>
    <col collapsed="false" customWidth="true" hidden="false" outlineLevel="0" max="3" min="3" style="0" width="52"/>
  </cols>
  <sheetData>
    <row r="1" customFormat="false" ht="30" hidden="false" customHeight="true" outlineLevel="0" collapsed="false">
      <c r="A1" s="1" t="s">
        <v>0</v>
      </c>
      <c r="B1" s="1"/>
      <c r="C1" s="1"/>
    </row>
    <row r="3" customFormat="false" ht="30" hidden="false" customHeight="true" outlineLevel="0" collapsed="false">
      <c r="A3" s="2" t="s">
        <v>1</v>
      </c>
      <c r="B3" s="2"/>
      <c r="C3" s="2"/>
    </row>
    <row r="5" customFormat="false" ht="19.5" hidden="false" customHeight="true" outlineLevel="0" collapsed="false">
      <c r="A5" s="3" t="s">
        <v>2</v>
      </c>
      <c r="B5" s="4"/>
      <c r="C5" s="4"/>
    </row>
    <row r="6" customFormat="false" ht="18" hidden="false" customHeight="true" outlineLevel="0" collapsed="false">
      <c r="A6" s="5" t="s">
        <v>3</v>
      </c>
      <c r="B6" s="6" t="s">
        <v>4</v>
      </c>
    </row>
    <row r="7" customFormat="false" ht="18" hidden="false" customHeight="true" outlineLevel="0" collapsed="false">
      <c r="A7" s="5" t="s">
        <v>5</v>
      </c>
      <c r="B7" s="6" t="s">
        <v>6</v>
      </c>
    </row>
    <row r="8" customFormat="false" ht="18" hidden="false" customHeight="true" outlineLevel="0" collapsed="false">
      <c r="A8" s="5" t="s">
        <v>7</v>
      </c>
      <c r="B8" s="7" t="n">
        <v>32</v>
      </c>
      <c r="C8" s="8" t="s">
        <v>8</v>
      </c>
    </row>
    <row r="9" customFormat="false" ht="18" hidden="false" customHeight="true" outlineLevel="0" collapsed="false">
      <c r="A9" s="5" t="s">
        <v>9</v>
      </c>
      <c r="B9" s="9" t="n">
        <v>4400000</v>
      </c>
    </row>
    <row r="10" customFormat="false" ht="18" hidden="false" customHeight="true" outlineLevel="0" collapsed="false">
      <c r="A10" s="5" t="s">
        <v>10</v>
      </c>
      <c r="B10" s="9" t="n">
        <v>2150000</v>
      </c>
    </row>
    <row r="12" customFormat="false" ht="19.5" hidden="false" customHeight="true" outlineLevel="0" collapsed="false">
      <c r="A12" s="3" t="s">
        <v>11</v>
      </c>
      <c r="B12" s="4"/>
      <c r="C12" s="4"/>
    </row>
    <row r="13" customFormat="false" ht="18" hidden="false" customHeight="true" outlineLevel="0" collapsed="false">
      <c r="A13" s="5" t="s">
        <v>12</v>
      </c>
      <c r="B13" s="9" t="n">
        <v>518400</v>
      </c>
    </row>
    <row r="14" customFormat="false" ht="18" hidden="false" customHeight="true" outlineLevel="0" collapsed="false">
      <c r="A14" s="5" t="s">
        <v>13</v>
      </c>
      <c r="B14" s="9" t="n">
        <v>14400</v>
      </c>
    </row>
    <row r="15" customFormat="false" ht="18" hidden="false" customHeight="true" outlineLevel="0" collapsed="false">
      <c r="A15" s="5" t="s">
        <v>14</v>
      </c>
      <c r="B15" s="10" t="n">
        <v>0.05</v>
      </c>
    </row>
    <row r="17" customFormat="false" ht="19.5" hidden="false" customHeight="true" outlineLevel="0" collapsed="false">
      <c r="A17" s="3" t="s">
        <v>15</v>
      </c>
      <c r="B17" s="4"/>
      <c r="C17" s="4"/>
    </row>
    <row r="18" customFormat="false" ht="18" hidden="false" customHeight="true" outlineLevel="0" collapsed="false">
      <c r="A18" s="5" t="s">
        <v>16</v>
      </c>
      <c r="B18" s="9" t="n">
        <v>52000</v>
      </c>
      <c r="C18" s="8" t="s">
        <v>17</v>
      </c>
    </row>
    <row r="19" customFormat="false" ht="18" hidden="false" customHeight="true" outlineLevel="0" collapsed="false">
      <c r="A19" s="5" t="s">
        <v>18</v>
      </c>
      <c r="B19" s="9" t="n">
        <v>28000</v>
      </c>
    </row>
    <row r="20" customFormat="false" ht="18" hidden="false" customHeight="true" outlineLevel="0" collapsed="false">
      <c r="A20" s="5" t="s">
        <v>19</v>
      </c>
      <c r="B20" s="9" t="n">
        <v>32000</v>
      </c>
    </row>
    <row r="21" customFormat="false" ht="18" hidden="false" customHeight="true" outlineLevel="0" collapsed="false">
      <c r="A21" s="5" t="s">
        <v>20</v>
      </c>
      <c r="B21" s="9" t="n">
        <v>25000</v>
      </c>
      <c r="C21" s="8" t="s">
        <v>21</v>
      </c>
    </row>
    <row r="22" customFormat="false" ht="18" hidden="false" customHeight="true" outlineLevel="0" collapsed="false">
      <c r="A22" s="5" t="s">
        <v>22</v>
      </c>
      <c r="B22" s="9" t="n">
        <v>24000</v>
      </c>
    </row>
    <row r="23" customFormat="false" ht="18" hidden="false" customHeight="true" outlineLevel="0" collapsed="false">
      <c r="A23" s="5" t="s">
        <v>23</v>
      </c>
      <c r="B23" s="9" t="n">
        <v>12000</v>
      </c>
    </row>
    <row r="24" customFormat="false" ht="18" hidden="false" customHeight="true" outlineLevel="0" collapsed="false">
      <c r="A24" s="5" t="s">
        <v>24</v>
      </c>
      <c r="B24" s="9" t="n">
        <v>250</v>
      </c>
      <c r="C24" s="8" t="s">
        <v>25</v>
      </c>
    </row>
    <row r="26" customFormat="false" ht="19.5" hidden="false" customHeight="true" outlineLevel="0" collapsed="false">
      <c r="A26" s="3" t="s">
        <v>26</v>
      </c>
      <c r="B26" s="4"/>
      <c r="C26" s="4"/>
    </row>
    <row r="27" customFormat="false" ht="18" hidden="false" customHeight="true" outlineLevel="0" collapsed="false">
      <c r="A27" s="5" t="s">
        <v>27</v>
      </c>
      <c r="B27" s="10" t="n">
        <v>0.0725</v>
      </c>
      <c r="C27" s="8" t="s">
        <v>28</v>
      </c>
    </row>
    <row r="28" customFormat="false" ht="18" hidden="false" customHeight="true" outlineLevel="0" collapsed="false">
      <c r="A28" s="5" t="s">
        <v>29</v>
      </c>
      <c r="B28" s="7" t="n">
        <v>30</v>
      </c>
    </row>
    <row r="29" customFormat="false" ht="18" hidden="false" customHeight="true" outlineLevel="0" collapsed="false">
      <c r="A29" s="5" t="s">
        <v>30</v>
      </c>
      <c r="B29" s="11" t="n">
        <v>46357</v>
      </c>
    </row>
    <row r="30" customFormat="false" ht="18" hidden="false" customHeight="true" outlineLevel="0" collapsed="false">
      <c r="A30" s="5" t="s">
        <v>31</v>
      </c>
      <c r="B30" s="10" t="n">
        <v>0.03</v>
      </c>
    </row>
    <row r="32" customFormat="false" ht="19.5" hidden="false" customHeight="true" outlineLevel="0" collapsed="false">
      <c r="A32" s="3" t="s">
        <v>32</v>
      </c>
      <c r="B32" s="4"/>
      <c r="C32" s="4"/>
    </row>
    <row r="33" customFormat="false" ht="18" hidden="false" customHeight="true" outlineLevel="0" collapsed="false">
      <c r="A33" s="5" t="s">
        <v>33</v>
      </c>
      <c r="B33" s="10" t="n">
        <v>0.75</v>
      </c>
    </row>
    <row r="34" customFormat="false" ht="18" hidden="false" customHeight="true" outlineLevel="0" collapsed="false">
      <c r="A34" s="5" t="s">
        <v>34</v>
      </c>
      <c r="B34" s="12" t="n">
        <v>1.2</v>
      </c>
    </row>
    <row r="35" customFormat="false" ht="18" hidden="false" customHeight="true" outlineLevel="0" collapsed="false">
      <c r="A35" s="5" t="s">
        <v>35</v>
      </c>
      <c r="B35" s="6" t="s">
        <v>36</v>
      </c>
    </row>
    <row r="36" customFormat="false" ht="18" hidden="false" customHeight="true" outlineLevel="0" collapsed="false">
      <c r="A36" s="5" t="s">
        <v>37</v>
      </c>
      <c r="B36" s="7" t="n">
        <v>36</v>
      </c>
      <c r="C36" s="8" t="s">
        <v>38</v>
      </c>
    </row>
    <row r="38" customFormat="false" ht="30" hidden="false" customHeight="true" outlineLevel="0" collapsed="false">
      <c r="A38" s="2" t="s">
        <v>39</v>
      </c>
      <c r="B38" s="2"/>
      <c r="C38" s="2"/>
    </row>
  </sheetData>
  <mergeCells count="3">
    <mergeCell ref="A1:C1"/>
    <mergeCell ref="A3:C3"/>
    <mergeCell ref="A38:C38"/>
  </mergeCells>
  <dataValidations count="4">
    <dataValidation allowBlank="false" errorStyle="stop" operator="between" showDropDown="false" showErrorMessage="false" showInputMessage="false" sqref="B35" type="list">
      <formula1>"5-4-3-2-1 step-down,3-2-1 step-down,None"</formula1>
      <formula2>0</formula2>
    </dataValidation>
    <dataValidation allowBlank="false" errorStyle="stop" operator="between" showDropDown="false" showErrorMessage="false" showInputMessage="false" sqref="B36" type="whole">
      <formula1>1</formula1>
      <formula2>360</formula2>
    </dataValidation>
    <dataValidation allowBlank="false" errorStyle="stop" operator="between" showDropDown="false" showErrorMessage="false" showInputMessage="false" sqref="B28" type="whole">
      <formula1>5</formula1>
      <formula2>40</formula2>
    </dataValidation>
    <dataValidation allowBlank="false" errorStyle="stop" operator="between" showDropDown="false" showErrorMessage="false" showInputMessage="false" sqref="B27" type="decimal">
      <formula1>0.01</formula1>
      <formula2>0.25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38"/>
    <col collapsed="false" customWidth="true" hidden="false" outlineLevel="0" max="3" min="3" style="0" width="3"/>
    <col collapsed="false" customWidth="true" hidden="false" outlineLevel="0" max="4" min="4" style="0" width="32"/>
    <col collapsed="false" customWidth="true" hidden="false" outlineLevel="0" max="5" min="5" style="0" width="22"/>
    <col collapsed="false" customWidth="true" hidden="false" outlineLevel="0" max="6" min="6" style="0" width="3"/>
    <col collapsed="false" customWidth="true" hidden="false" outlineLevel="0" max="8" min="7" style="0" width="14"/>
  </cols>
  <sheetData>
    <row r="1" customFormat="false" ht="30" hidden="false" customHeight="true" outlineLevel="0" collapsed="false">
      <c r="A1" s="1" t="s">
        <v>40</v>
      </c>
      <c r="B1" s="1"/>
      <c r="C1" s="1"/>
      <c r="D1" s="1"/>
      <c r="E1" s="1"/>
      <c r="F1" s="1"/>
      <c r="G1" s="1"/>
      <c r="H1" s="1"/>
    </row>
    <row r="3" customFormat="false" ht="30" hidden="false" customHeight="true" outlineLevel="0" collapsed="false">
      <c r="A3" s="2" t="s">
        <v>41</v>
      </c>
      <c r="B3" s="2"/>
      <c r="C3" s="2"/>
      <c r="D3" s="2"/>
      <c r="E3" s="2"/>
      <c r="F3" s="2"/>
      <c r="G3" s="2"/>
      <c r="H3" s="2"/>
    </row>
    <row r="5" customFormat="false" ht="19.5" hidden="false" customHeight="true" outlineLevel="0" collapsed="false">
      <c r="A5" s="3" t="s">
        <v>42</v>
      </c>
      <c r="B5" s="4"/>
      <c r="D5" s="3" t="s">
        <v>43</v>
      </c>
      <c r="E5" s="4"/>
    </row>
    <row r="6" customFormat="false" ht="18" hidden="false" customHeight="true" outlineLevel="0" collapsed="false">
      <c r="A6" s="5" t="s">
        <v>2</v>
      </c>
      <c r="B6" s="13" t="str">
        <f aca="false">Inputs!$B$6</f>
        <v>Fictional Glenwood Park Apartments</v>
      </c>
      <c r="D6" s="5" t="s">
        <v>44</v>
      </c>
      <c r="E6" s="14" t="n">
        <f aca="false">Sizing!B18</f>
        <v>3300000</v>
      </c>
    </row>
    <row r="7" customFormat="false" ht="18" hidden="false" customHeight="true" outlineLevel="0" collapsed="false">
      <c r="A7" s="5" t="s">
        <v>45</v>
      </c>
      <c r="B7" s="13" t="str">
        <f aca="false">Inputs!$B$7</f>
        <v>Atlanta, GA</v>
      </c>
      <c r="D7" s="5" t="s">
        <v>46</v>
      </c>
      <c r="E7" s="14" t="n">
        <f aca="false">Sizing!B26</f>
        <v>3310076.32714753</v>
      </c>
    </row>
    <row r="8" customFormat="false" ht="18" hidden="false" customHeight="true" outlineLevel="0" collapsed="false">
      <c r="A8" s="5" t="s">
        <v>47</v>
      </c>
      <c r="B8" s="15" t="n">
        <f aca="false">Inputs!$B$8</f>
        <v>32</v>
      </c>
      <c r="D8" s="5" t="s">
        <v>48</v>
      </c>
      <c r="E8" s="16" t="n">
        <f aca="false">Sizing!B29</f>
        <v>3300000</v>
      </c>
    </row>
    <row r="9" customFormat="false" ht="18" hidden="false" customHeight="true" outlineLevel="0" collapsed="false">
      <c r="A9" s="5" t="s">
        <v>9</v>
      </c>
      <c r="B9" s="14" t="n">
        <f aca="false">Inputs!$B$9</f>
        <v>4400000</v>
      </c>
      <c r="D9" s="5" t="s">
        <v>49</v>
      </c>
      <c r="E9" s="13" t="str">
        <f aca="false">IF(Sizing!B18&lt;=Sizing!B26,"Value (LTV)","Cash flow (DSCR)")</f>
        <v>Value (LTV)</v>
      </c>
    </row>
    <row r="10" customFormat="false" ht="18" hidden="false" customHeight="true" outlineLevel="0" collapsed="false">
      <c r="A10" s="5" t="s">
        <v>50</v>
      </c>
      <c r="B10" s="14" t="n">
        <f aca="false">Sizing!B9</f>
        <v>506160</v>
      </c>
      <c r="D10" s="5" t="s">
        <v>51</v>
      </c>
      <c r="E10" s="17" t="n">
        <f aca="false">Sizing!B32</f>
        <v>22511.8172418543</v>
      </c>
    </row>
    <row r="11" customFormat="false" ht="18" hidden="false" customHeight="true" outlineLevel="0" collapsed="false">
      <c r="A11" s="5" t="s">
        <v>52</v>
      </c>
      <c r="B11" s="16" t="n">
        <f aca="false">Sizing!B12</f>
        <v>325160</v>
      </c>
      <c r="D11" s="5" t="s">
        <v>53</v>
      </c>
      <c r="E11" s="18" t="n">
        <f aca="false">Sizing!B33</f>
        <v>1.20366411896273</v>
      </c>
    </row>
    <row r="12" customFormat="false" ht="18" hidden="false" customHeight="true" outlineLevel="0" collapsed="false">
      <c r="A12" s="5" t="s">
        <v>10</v>
      </c>
      <c r="B12" s="14" t="n">
        <f aca="false">Inputs!$B$10</f>
        <v>2150000</v>
      </c>
      <c r="D12" s="5" t="s">
        <v>54</v>
      </c>
      <c r="E12" s="16" t="n">
        <f aca="false">Sizing!B36</f>
        <v>1051000</v>
      </c>
    </row>
    <row r="14" customFormat="false" ht="19.5" hidden="false" customHeight="true" outlineLevel="0" collapsed="false">
      <c r="A14" s="3" t="s">
        <v>55</v>
      </c>
      <c r="B14" s="4"/>
    </row>
    <row r="15" customFormat="false" ht="15" hidden="false" customHeight="false" outlineLevel="0" collapsed="false">
      <c r="A15" s="19" t="s">
        <v>44</v>
      </c>
      <c r="B15" s="20" t="n">
        <f aca="false">Sizing!B18</f>
        <v>3300000</v>
      </c>
    </row>
    <row r="16" customFormat="false" ht="15" hidden="false" customHeight="false" outlineLevel="0" collapsed="false">
      <c r="A16" s="19" t="s">
        <v>46</v>
      </c>
      <c r="B16" s="20" t="n">
        <f aca="false">Sizing!B26</f>
        <v>3310076.32714753</v>
      </c>
    </row>
    <row r="17" customFormat="false" ht="15" hidden="false" customHeight="false" outlineLevel="0" collapsed="false">
      <c r="A17" s="19" t="s">
        <v>56</v>
      </c>
      <c r="B17" s="20" t="n">
        <f aca="false">Sizing!B29</f>
        <v>3300000</v>
      </c>
    </row>
    <row r="30" customFormat="false" ht="30" hidden="false" customHeight="true" outlineLevel="0" collapsed="false">
      <c r="A30" s="2" t="s">
        <v>39</v>
      </c>
      <c r="B30" s="2"/>
      <c r="C30" s="2"/>
      <c r="D30" s="2"/>
      <c r="E30" s="2"/>
    </row>
  </sheetData>
  <mergeCells count="3">
    <mergeCell ref="A1:H1"/>
    <mergeCell ref="A3:H3"/>
    <mergeCell ref="A30:E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62"/>
  </cols>
  <sheetData>
    <row r="1" customFormat="false" ht="30" hidden="false" customHeight="true" outlineLevel="0" collapsed="false">
      <c r="A1" s="1" t="s">
        <v>57</v>
      </c>
      <c r="B1" s="1"/>
      <c r="C1" s="1"/>
      <c r="D1" s="1"/>
    </row>
    <row r="3" customFormat="false" ht="30" hidden="false" customHeight="true" outlineLevel="0" collapsed="false">
      <c r="A3" s="2" t="s">
        <v>58</v>
      </c>
      <c r="B3" s="2"/>
      <c r="C3" s="2"/>
      <c r="D3" s="2"/>
    </row>
    <row r="5" customFormat="false" ht="19.5" hidden="false" customHeight="true" outlineLevel="0" collapsed="false">
      <c r="A5" s="3" t="s">
        <v>52</v>
      </c>
      <c r="B5" s="4"/>
      <c r="C5" s="4"/>
      <c r="D5" s="4"/>
    </row>
    <row r="6" customFormat="false" ht="18" hidden="false" customHeight="true" outlineLevel="0" collapsed="false">
      <c r="A6" s="5" t="s">
        <v>12</v>
      </c>
      <c r="B6" s="14" t="n">
        <f aca="false">Inputs!$B$13</f>
        <v>518400</v>
      </c>
    </row>
    <row r="7" customFormat="false" ht="18" hidden="false" customHeight="true" outlineLevel="0" collapsed="false">
      <c r="A7" s="5" t="s">
        <v>13</v>
      </c>
      <c r="B7" s="14" t="n">
        <f aca="false">Inputs!$B$14</f>
        <v>14400</v>
      </c>
    </row>
    <row r="8" customFormat="false" ht="18" hidden="false" customHeight="true" outlineLevel="0" collapsed="false">
      <c r="A8" s="5" t="s">
        <v>59</v>
      </c>
      <c r="B8" s="14" t="n">
        <f aca="false">-(B6+B7)*Inputs!$B$15</f>
        <v>-26640</v>
      </c>
    </row>
    <row r="9" customFormat="false" ht="18" hidden="false" customHeight="true" outlineLevel="0" collapsed="false">
      <c r="A9" s="5" t="s">
        <v>50</v>
      </c>
      <c r="B9" s="14" t="n">
        <f aca="false">SUM(B6:B8)</f>
        <v>506160</v>
      </c>
    </row>
    <row r="10" customFormat="false" ht="18" hidden="false" customHeight="true" outlineLevel="0" collapsed="false">
      <c r="A10" s="5" t="s">
        <v>60</v>
      </c>
      <c r="B10" s="14" t="n">
        <f aca="false">-SUM(Inputs!B18:B23)</f>
        <v>-173000</v>
      </c>
    </row>
    <row r="11" customFormat="false" ht="18" hidden="false" customHeight="true" outlineLevel="0" collapsed="false">
      <c r="A11" s="5" t="s">
        <v>61</v>
      </c>
      <c r="B11" s="14" t="n">
        <f aca="false">-Inputs!$B$24*Inputs!$B$8</f>
        <v>-8000</v>
      </c>
    </row>
    <row r="12" customFormat="false" ht="18" hidden="false" customHeight="true" outlineLevel="0" collapsed="false">
      <c r="A12" s="5" t="s">
        <v>62</v>
      </c>
      <c r="B12" s="16" t="n">
        <f aca="false">B9+B10+B11</f>
        <v>325160</v>
      </c>
    </row>
    <row r="13" customFormat="false" ht="18" hidden="false" customHeight="true" outlineLevel="0" collapsed="false">
      <c r="A13" s="5" t="s">
        <v>63</v>
      </c>
      <c r="B13" s="21" t="n">
        <f aca="false">IF(B9=0,0,-(B10+B11)/B9)</f>
        <v>0.357594436541805</v>
      </c>
    </row>
    <row r="15" customFormat="false" ht="19.5" hidden="false" customHeight="true" outlineLevel="0" collapsed="false">
      <c r="A15" s="3" t="s">
        <v>64</v>
      </c>
      <c r="B15" s="4"/>
      <c r="C15" s="4"/>
      <c r="D15" s="4"/>
    </row>
    <row r="16" customFormat="false" ht="18" hidden="false" customHeight="true" outlineLevel="0" collapsed="false">
      <c r="A16" s="5" t="s">
        <v>9</v>
      </c>
      <c r="B16" s="14" t="n">
        <f aca="false">Inputs!$B$9</f>
        <v>4400000</v>
      </c>
    </row>
    <row r="17" customFormat="false" ht="18" hidden="false" customHeight="true" outlineLevel="0" collapsed="false">
      <c r="A17" s="5" t="s">
        <v>33</v>
      </c>
      <c r="B17" s="21" t="n">
        <f aca="false">Inputs!$B$33</f>
        <v>0.75</v>
      </c>
    </row>
    <row r="18" customFormat="false" ht="18" hidden="false" customHeight="true" outlineLevel="0" collapsed="false">
      <c r="A18" s="5" t="s">
        <v>44</v>
      </c>
      <c r="B18" s="16" t="n">
        <f aca="false">B16*B17</f>
        <v>3300000</v>
      </c>
    </row>
    <row r="20" customFormat="false" ht="19.5" hidden="false" customHeight="true" outlineLevel="0" collapsed="false">
      <c r="A20" s="3" t="s">
        <v>65</v>
      </c>
      <c r="B20" s="4"/>
      <c r="C20" s="4"/>
      <c r="D20" s="4"/>
    </row>
    <row r="21" customFormat="false" ht="18" hidden="false" customHeight="true" outlineLevel="0" collapsed="false">
      <c r="A21" s="5" t="s">
        <v>34</v>
      </c>
      <c r="B21" s="18" t="n">
        <f aca="false">Inputs!$B$34</f>
        <v>1.2</v>
      </c>
    </row>
    <row r="22" customFormat="false" ht="18" hidden="false" customHeight="true" outlineLevel="0" collapsed="false">
      <c r="A22" s="5" t="s">
        <v>66</v>
      </c>
      <c r="B22" s="14" t="n">
        <f aca="false">IF(B21=0,0,B12/B21)</f>
        <v>270966.666666667</v>
      </c>
    </row>
    <row r="23" customFormat="false" ht="18" hidden="false" customHeight="true" outlineLevel="0" collapsed="false">
      <c r="A23" s="5" t="s">
        <v>67</v>
      </c>
      <c r="B23" s="17" t="n">
        <f aca="false">B22/12</f>
        <v>22580.5555555556</v>
      </c>
    </row>
    <row r="24" customFormat="false" ht="18" hidden="false" customHeight="true" outlineLevel="0" collapsed="false">
      <c r="A24" s="5" t="s">
        <v>68</v>
      </c>
      <c r="B24" s="21" t="n">
        <f aca="false">Inputs!$B$27</f>
        <v>0.0725</v>
      </c>
    </row>
    <row r="25" customFormat="false" ht="18" hidden="false" customHeight="true" outlineLevel="0" collapsed="false">
      <c r="A25" s="5" t="s">
        <v>69</v>
      </c>
      <c r="B25" s="15" t="n">
        <f aca="false">Inputs!$B$28*12</f>
        <v>360</v>
      </c>
    </row>
    <row r="26" customFormat="false" ht="18" hidden="false" customHeight="true" outlineLevel="0" collapsed="false">
      <c r="A26" s="5" t="s">
        <v>46</v>
      </c>
      <c r="B26" s="16" t="n">
        <f aca="false">IF(B24=0,B23*B25,PV(B24/12,B25,-B23))</f>
        <v>3310076.32714753</v>
      </c>
    </row>
    <row r="28" customFormat="false" ht="19.5" hidden="false" customHeight="true" outlineLevel="0" collapsed="false">
      <c r="A28" s="3" t="s">
        <v>70</v>
      </c>
      <c r="B28" s="4"/>
      <c r="C28" s="4"/>
      <c r="D28" s="4"/>
    </row>
    <row r="29" customFormat="false" ht="18" hidden="false" customHeight="true" outlineLevel="0" collapsed="false">
      <c r="A29" s="5" t="s">
        <v>48</v>
      </c>
      <c r="B29" s="16" t="n">
        <f aca="false">FLOOR(MIN(B18,B26),1000)</f>
        <v>3300000</v>
      </c>
    </row>
    <row r="30" customFormat="false" ht="18" hidden="false" customHeight="true" outlineLevel="0" collapsed="false">
      <c r="A30" s="5" t="s">
        <v>71</v>
      </c>
      <c r="B30" s="13" t="str">
        <f aca="false">IF(B18&lt;=B26,"Value (LTV)","Cash flow (DSCR)")</f>
        <v>Value (LTV)</v>
      </c>
      <c r="D30" s="8" t="s">
        <v>72</v>
      </c>
    </row>
    <row r="31" customFormat="false" ht="18" hidden="false" customHeight="true" outlineLevel="0" collapsed="false">
      <c r="A31" s="5" t="s">
        <v>73</v>
      </c>
      <c r="B31" s="21" t="n">
        <f aca="false">IF(B16=0,0,B29/B16)</f>
        <v>0.75</v>
      </c>
    </row>
    <row r="32" customFormat="false" ht="18" hidden="false" customHeight="true" outlineLevel="0" collapsed="false">
      <c r="A32" s="5" t="s">
        <v>74</v>
      </c>
      <c r="B32" s="17" t="n">
        <f aca="false">IF(B24=0,B29/B25,PMT(B24/12,B25,-B29))</f>
        <v>22511.8172418543</v>
      </c>
    </row>
    <row r="33" customFormat="false" ht="18" hidden="false" customHeight="true" outlineLevel="0" collapsed="false">
      <c r="A33" s="5" t="s">
        <v>75</v>
      </c>
      <c r="B33" s="18" t="n">
        <f aca="false">IF(B32=0,0,B12/(B32*12))</f>
        <v>1.20366411896273</v>
      </c>
    </row>
    <row r="34" customFormat="false" ht="18" hidden="false" customHeight="true" outlineLevel="0" collapsed="false">
      <c r="A34" s="5" t="s">
        <v>76</v>
      </c>
      <c r="B34" s="14" t="n">
        <f aca="false">-Inputs!$B$10</f>
        <v>-2150000</v>
      </c>
    </row>
    <row r="35" customFormat="false" ht="18" hidden="false" customHeight="true" outlineLevel="0" collapsed="false">
      <c r="A35" s="5" t="s">
        <v>77</v>
      </c>
      <c r="B35" s="14" t="n">
        <f aca="false">-B29*Inputs!$B$30</f>
        <v>-99000</v>
      </c>
    </row>
    <row r="36" customFormat="false" ht="18" hidden="false" customHeight="true" outlineLevel="0" collapsed="false">
      <c r="A36" s="5" t="s">
        <v>78</v>
      </c>
      <c r="B36" s="16" t="n">
        <f aca="false">B29+B34+B35</f>
        <v>1051000</v>
      </c>
      <c r="D36" s="8" t="s">
        <v>79</v>
      </c>
    </row>
    <row r="38" customFormat="false" ht="19.5" hidden="false" customHeight="true" outlineLevel="0" collapsed="false">
      <c r="A38" s="3" t="s">
        <v>80</v>
      </c>
      <c r="B38" s="4"/>
      <c r="C38" s="4"/>
      <c r="D38" s="4"/>
    </row>
    <row r="39" customFormat="false" ht="15" hidden="false" customHeight="false" outlineLevel="0" collapsed="false">
      <c r="A39" s="22" t="s">
        <v>81</v>
      </c>
      <c r="B39" s="22" t="s">
        <v>56</v>
      </c>
      <c r="C39" s="22" t="s">
        <v>82</v>
      </c>
    </row>
    <row r="40" customFormat="false" ht="15" hidden="false" customHeight="false" outlineLevel="0" collapsed="false">
      <c r="A40" s="23" t="n">
        <f aca="false">B24+(-0.005)</f>
        <v>0.0675</v>
      </c>
      <c r="B40" s="24" t="n">
        <f aca="false">FLOOR(MIN(B18,IF(A40&lt;=0,B23*B25,PV(A40/12,B25,-B23))),1000)</f>
        <v>3300000</v>
      </c>
      <c r="C40" s="24" t="n">
        <f aca="false">B40+B34-B40*Inputs!$B$30</f>
        <v>1051000</v>
      </c>
    </row>
    <row r="41" customFormat="false" ht="15" hidden="false" customHeight="false" outlineLevel="0" collapsed="false">
      <c r="A41" s="25" t="n">
        <f aca="false">B24+(0)</f>
        <v>0.0725</v>
      </c>
      <c r="B41" s="26" t="n">
        <f aca="false">FLOOR(MIN(B18,IF(A41&lt;=0,B23*B25,PV(A41/12,B25,-B23))),1000)</f>
        <v>3300000</v>
      </c>
      <c r="C41" s="26" t="n">
        <f aca="false">B41+B34-B41*Inputs!$B$30</f>
        <v>1051000</v>
      </c>
    </row>
    <row r="42" customFormat="false" ht="15" hidden="false" customHeight="false" outlineLevel="0" collapsed="false">
      <c r="A42" s="23" t="n">
        <f aca="false">B24+(0.005)</f>
        <v>0.0775</v>
      </c>
      <c r="B42" s="24" t="n">
        <f aca="false">FLOOR(MIN(B18,IF(A42&lt;=0,B23*B25,PV(A42/12,B25,-B23))),1000)</f>
        <v>3151000</v>
      </c>
      <c r="C42" s="24" t="n">
        <f aca="false">B42+B34-B42*Inputs!$B$30</f>
        <v>906470</v>
      </c>
    </row>
    <row r="43" customFormat="false" ht="15" hidden="false" customHeight="false" outlineLevel="0" collapsed="false">
      <c r="A43" s="25" t="n">
        <f aca="false">B24+(0.01)</f>
        <v>0.0825</v>
      </c>
      <c r="B43" s="26" t="n">
        <f aca="false">FLOOR(MIN(B18,IF(A43&lt;=0,B23*B25,PV(A43/12,B25,-B23))),1000)</f>
        <v>3005000</v>
      </c>
      <c r="C43" s="26" t="n">
        <f aca="false">B43+B34-B43*Inputs!$B$30</f>
        <v>764850</v>
      </c>
    </row>
    <row r="44" customFormat="false" ht="27.75" hidden="false" customHeight="true" outlineLevel="0" collapsed="false">
      <c r="A44" s="27" t="s">
        <v>83</v>
      </c>
      <c r="B44" s="27"/>
      <c r="C44" s="27"/>
      <c r="D44" s="27"/>
    </row>
    <row r="46" customFormat="false" ht="19.5" hidden="false" customHeight="true" outlineLevel="0" collapsed="false">
      <c r="A46" s="3" t="s">
        <v>84</v>
      </c>
      <c r="B46" s="4"/>
      <c r="C46" s="4"/>
      <c r="D46" s="4"/>
    </row>
    <row r="47" customFormat="false" ht="18" hidden="false" customHeight="true" outlineLevel="0" collapsed="false">
      <c r="A47" s="5" t="s">
        <v>85</v>
      </c>
      <c r="B47" s="13" t="str">
        <f aca="false">Inputs!$B$35</f>
        <v>5-4-3-2-1 step-down</v>
      </c>
    </row>
    <row r="48" customFormat="false" ht="18" hidden="false" customHeight="true" outlineLevel="0" collapsed="false">
      <c r="A48" s="5" t="s">
        <v>86</v>
      </c>
      <c r="B48" s="15" t="n">
        <f aca="false">Inputs!$B$36</f>
        <v>36</v>
      </c>
    </row>
    <row r="49" customFormat="false" ht="18" hidden="false" customHeight="true" outlineLevel="0" collapsed="false">
      <c r="A49" s="5" t="s">
        <v>87</v>
      </c>
      <c r="B49" s="14" t="n">
        <f aca="false">IFERROR(INDEX(Schedule!$G$6:$G$365,B48),0)</f>
        <v>3196820.3836603</v>
      </c>
    </row>
    <row r="50" customFormat="false" ht="18" hidden="false" customHeight="true" outlineLevel="0" collapsed="false">
      <c r="A50" s="5" t="s">
        <v>88</v>
      </c>
      <c r="B50" s="21" t="n">
        <f aca="false">IFERROR(INDEX(Schedule!$H$6:$H$365,B48),0)</f>
        <v>0.03</v>
      </c>
    </row>
    <row r="51" customFormat="false" ht="18" hidden="false" customHeight="true" outlineLevel="0" collapsed="false">
      <c r="A51" s="5" t="s">
        <v>89</v>
      </c>
      <c r="B51" s="16" t="n">
        <f aca="false">B49*B50</f>
        <v>95904.6115098091</v>
      </c>
    </row>
    <row r="53" customFormat="false" ht="30" hidden="false" customHeight="true" outlineLevel="0" collapsed="false">
      <c r="A53" s="2" t="s">
        <v>39</v>
      </c>
      <c r="B53" s="2"/>
      <c r="C53" s="2"/>
      <c r="D53" s="2"/>
    </row>
  </sheetData>
  <mergeCells count="4">
    <mergeCell ref="A1:D1"/>
    <mergeCell ref="A3:D3"/>
    <mergeCell ref="A44:D44"/>
    <mergeCell ref="A53:D5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6" min="4" style="0" width="14"/>
    <col collapsed="false" customWidth="true" hidden="false" outlineLevel="0" max="7" min="7" style="0" width="18"/>
    <col collapsed="false" customWidth="true" hidden="false" outlineLevel="0" max="8" min="8" style="0" width="16"/>
    <col collapsed="false" customWidth="true" hidden="false" outlineLevel="0" max="9" min="9" style="0" width="22"/>
  </cols>
  <sheetData>
    <row r="1" customFormat="false" ht="30" hidden="false" customHeight="true" outlineLevel="0" collapsed="false">
      <c r="A1" s="1" t="s">
        <v>90</v>
      </c>
      <c r="B1" s="1"/>
      <c r="C1" s="1"/>
      <c r="D1" s="1"/>
      <c r="E1" s="1"/>
      <c r="F1" s="1"/>
      <c r="G1" s="1"/>
      <c r="H1" s="1"/>
      <c r="I1" s="1"/>
    </row>
    <row r="3" customFormat="false" ht="30" hidden="false" customHeight="true" outlineLevel="0" collapsed="false">
      <c r="A3" s="2" t="s">
        <v>91</v>
      </c>
      <c r="B3" s="2"/>
      <c r="C3" s="2"/>
      <c r="D3" s="2"/>
      <c r="E3" s="2"/>
      <c r="F3" s="2"/>
      <c r="G3" s="2"/>
      <c r="H3" s="2"/>
      <c r="I3" s="2"/>
    </row>
    <row r="5" customFormat="false" ht="31.5" hidden="false" customHeight="true" outlineLevel="0" collapsed="false">
      <c r="A5" s="28" t="s">
        <v>92</v>
      </c>
      <c r="B5" s="28" t="s">
        <v>93</v>
      </c>
      <c r="C5" s="28" t="s">
        <v>94</v>
      </c>
      <c r="D5" s="28" t="s">
        <v>95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100</v>
      </c>
    </row>
    <row r="6" customFormat="false" ht="15" hidden="false" customHeight="false" outlineLevel="0" collapsed="false">
      <c r="A6" s="29" t="n">
        <f aca="false">IF(1&gt;Sizing!$B$25,"",1)</f>
        <v>1</v>
      </c>
      <c r="B6" s="30" t="n">
        <f aca="false">IF(A6="","",EDATE(Inputs!$B$29,1-1))</f>
        <v>46357</v>
      </c>
      <c r="C6" s="31" t="n">
        <f aca="false">IF(A6="","",Sizing!$B$29)</f>
        <v>3300000</v>
      </c>
      <c r="D6" s="31" t="n">
        <f aca="false">IF(A6="","",MIN(Sizing!$B$32,C6*(1+Sizing!$B$24/12)))</f>
        <v>22511.8172418543</v>
      </c>
      <c r="E6" s="31" t="n">
        <f aca="false">IF(A6="","",C6*Sizing!$B$24/12)</f>
        <v>19937.5</v>
      </c>
      <c r="F6" s="31" t="n">
        <f aca="false">IF(A6="","",D6-E6)</f>
        <v>2574.31724185434</v>
      </c>
      <c r="G6" s="31" t="n">
        <f aca="false">IF(A6="","",MAX(0,C6-F6))</f>
        <v>3297425.68275815</v>
      </c>
      <c r="H6" s="32" t="n">
        <f aca="false">IF(A6="","",IF(Inputs!$B$35="5-4-3-2-1 step-down",MAX(0,6-ROUNDUP(A6/12,0))/100,IF(Inputs!$B$35="3-2-1 step-down",MAX(0,4-ROUNDUP(A6/12,0))/100,0)))</f>
        <v>0.05</v>
      </c>
      <c r="I6" s="31" t="n">
        <f aca="false">IF(A6="","",G6*(1+H6))</f>
        <v>3462296.96689605</v>
      </c>
    </row>
    <row r="7" customFormat="false" ht="15" hidden="false" customHeight="false" outlineLevel="0" collapsed="false">
      <c r="A7" s="33" t="n">
        <f aca="false">IF(2&gt;Sizing!$B$25,"",2)</f>
        <v>2</v>
      </c>
      <c r="B7" s="34" t="n">
        <f aca="false">IF(A7="","",EDATE(Inputs!$B$29,2-1))</f>
        <v>46388</v>
      </c>
      <c r="C7" s="35" t="n">
        <f aca="false">IF(A7="","",G6)</f>
        <v>3297425.68275815</v>
      </c>
      <c r="D7" s="35" t="n">
        <f aca="false">IF(A7="","",MIN(Sizing!$B$32,C7*(1+Sizing!$B$24/12)))</f>
        <v>22511.8172418543</v>
      </c>
      <c r="E7" s="35" t="n">
        <f aca="false">IF(A7="","",C7*Sizing!$B$24/12)</f>
        <v>19921.9468333305</v>
      </c>
      <c r="F7" s="35" t="n">
        <f aca="false">IF(A7="","",D7-E7)</f>
        <v>2589.87040852387</v>
      </c>
      <c r="G7" s="35" t="n">
        <f aca="false">IF(A7="","",MAX(0,C7-F7))</f>
        <v>3294835.81234962</v>
      </c>
      <c r="H7" s="36" t="n">
        <f aca="false">IF(A7="","",IF(Inputs!$B$35="5-4-3-2-1 step-down",MAX(0,6-ROUNDUP(A7/12,0))/100,IF(Inputs!$B$35="3-2-1 step-down",MAX(0,4-ROUNDUP(A7/12,0))/100,0)))</f>
        <v>0.05</v>
      </c>
      <c r="I7" s="35" t="n">
        <f aca="false">IF(A7="","",G7*(1+H7))</f>
        <v>3459577.6029671</v>
      </c>
    </row>
    <row r="8" customFormat="false" ht="15" hidden="false" customHeight="false" outlineLevel="0" collapsed="false">
      <c r="A8" s="29" t="n">
        <f aca="false">IF(3&gt;Sizing!$B$25,"",3)</f>
        <v>3</v>
      </c>
      <c r="B8" s="30" t="n">
        <f aca="false">IF(A8="","",EDATE(Inputs!$B$29,3-1))</f>
        <v>46419</v>
      </c>
      <c r="C8" s="31" t="n">
        <f aca="false">IF(A8="","",G7)</f>
        <v>3294835.81234962</v>
      </c>
      <c r="D8" s="31" t="n">
        <f aca="false">IF(A8="","",MIN(Sizing!$B$32,C8*(1+Sizing!$B$24/12)))</f>
        <v>22511.8172418543</v>
      </c>
      <c r="E8" s="31" t="n">
        <f aca="false">IF(A8="","",C8*Sizing!$B$24/12)</f>
        <v>19906.2996996123</v>
      </c>
      <c r="F8" s="31" t="n">
        <f aca="false">IF(A8="","",D8-E8)</f>
        <v>2605.51754224204</v>
      </c>
      <c r="G8" s="31" t="n">
        <f aca="false">IF(A8="","",MAX(0,C8-F8))</f>
        <v>3292230.29480738</v>
      </c>
      <c r="H8" s="32" t="n">
        <f aca="false">IF(A8="","",IF(Inputs!$B$35="5-4-3-2-1 step-down",MAX(0,6-ROUNDUP(A8/12,0))/100,IF(Inputs!$B$35="3-2-1 step-down",MAX(0,4-ROUNDUP(A8/12,0))/100,0)))</f>
        <v>0.05</v>
      </c>
      <c r="I8" s="31" t="n">
        <f aca="false">IF(A8="","",G8*(1+H8))</f>
        <v>3456841.80954775</v>
      </c>
    </row>
    <row r="9" customFormat="false" ht="15" hidden="false" customHeight="false" outlineLevel="0" collapsed="false">
      <c r="A9" s="33" t="n">
        <f aca="false">IF(4&gt;Sizing!$B$25,"",4)</f>
        <v>4</v>
      </c>
      <c r="B9" s="34" t="n">
        <f aca="false">IF(A9="","",EDATE(Inputs!$B$29,4-1))</f>
        <v>46447</v>
      </c>
      <c r="C9" s="35" t="n">
        <f aca="false">IF(A9="","",G8)</f>
        <v>3292230.29480738</v>
      </c>
      <c r="D9" s="35" t="n">
        <f aca="false">IF(A9="","",MIN(Sizing!$B$32,C9*(1+Sizing!$B$24/12)))</f>
        <v>22511.8172418543</v>
      </c>
      <c r="E9" s="35" t="n">
        <f aca="false">IF(A9="","",C9*Sizing!$B$24/12)</f>
        <v>19890.5580311279</v>
      </c>
      <c r="F9" s="35" t="n">
        <f aca="false">IF(A9="","",D9-E9)</f>
        <v>2621.25921072642</v>
      </c>
      <c r="G9" s="35" t="n">
        <f aca="false">IF(A9="","",MAX(0,C9-F9))</f>
        <v>3289609.03559665</v>
      </c>
      <c r="H9" s="36" t="n">
        <f aca="false">IF(A9="","",IF(Inputs!$B$35="5-4-3-2-1 step-down",MAX(0,6-ROUNDUP(A9/12,0))/100,IF(Inputs!$B$35="3-2-1 step-down",MAX(0,4-ROUNDUP(A9/12,0))/100,0)))</f>
        <v>0.05</v>
      </c>
      <c r="I9" s="35" t="n">
        <f aca="false">IF(A9="","",G9*(1+H9))</f>
        <v>3454089.48737649</v>
      </c>
    </row>
    <row r="10" customFormat="false" ht="15" hidden="false" customHeight="false" outlineLevel="0" collapsed="false">
      <c r="A10" s="29" t="n">
        <f aca="false">IF(5&gt;Sizing!$B$25,"",5)</f>
        <v>5</v>
      </c>
      <c r="B10" s="30" t="n">
        <f aca="false">IF(A10="","",EDATE(Inputs!$B$29,5-1))</f>
        <v>46478</v>
      </c>
      <c r="C10" s="31" t="n">
        <f aca="false">IF(A10="","",G9)</f>
        <v>3289609.03559665</v>
      </c>
      <c r="D10" s="31" t="n">
        <f aca="false">IF(A10="","",MIN(Sizing!$B$32,C10*(1+Sizing!$B$24/12)))</f>
        <v>22511.8172418543</v>
      </c>
      <c r="E10" s="31" t="n">
        <f aca="false">IF(A10="","",C10*Sizing!$B$24/12)</f>
        <v>19874.7212567298</v>
      </c>
      <c r="F10" s="31" t="n">
        <f aca="false">IF(A10="","",D10-E10)</f>
        <v>2637.09598512455</v>
      </c>
      <c r="G10" s="31" t="n">
        <f aca="false">IF(A10="","",MAX(0,C10-F10))</f>
        <v>3286971.93961153</v>
      </c>
      <c r="H10" s="32" t="n">
        <f aca="false">IF(A10="","",IF(Inputs!$B$35="5-4-3-2-1 step-down",MAX(0,6-ROUNDUP(A10/12,0))/100,IF(Inputs!$B$35="3-2-1 step-down",MAX(0,4-ROUNDUP(A10/12,0))/100,0)))</f>
        <v>0.05</v>
      </c>
      <c r="I10" s="31" t="n">
        <f aca="false">IF(A10="","",G10*(1+H10))</f>
        <v>3451320.53659211</v>
      </c>
    </row>
    <row r="11" customFormat="false" ht="15" hidden="false" customHeight="false" outlineLevel="0" collapsed="false">
      <c r="A11" s="33" t="n">
        <f aca="false">IF(6&gt;Sizing!$B$25,"",6)</f>
        <v>6</v>
      </c>
      <c r="B11" s="34" t="n">
        <f aca="false">IF(A11="","",EDATE(Inputs!$B$29,6-1))</f>
        <v>46508</v>
      </c>
      <c r="C11" s="35" t="n">
        <f aca="false">IF(A11="","",G10)</f>
        <v>3286971.93961153</v>
      </c>
      <c r="D11" s="35" t="n">
        <f aca="false">IF(A11="","",MIN(Sizing!$B$32,C11*(1+Sizing!$B$24/12)))</f>
        <v>22511.8172418543</v>
      </c>
      <c r="E11" s="35" t="n">
        <f aca="false">IF(A11="","",C11*Sizing!$B$24/12)</f>
        <v>19858.7888018197</v>
      </c>
      <c r="F11" s="35" t="n">
        <f aca="false">IF(A11="","",D11-E11)</f>
        <v>2653.02844003468</v>
      </c>
      <c r="G11" s="35" t="n">
        <f aca="false">IF(A11="","",MAX(0,C11-F11))</f>
        <v>3284318.91117149</v>
      </c>
      <c r="H11" s="36" t="n">
        <f aca="false">IF(A11="","",IF(Inputs!$B$35="5-4-3-2-1 step-down",MAX(0,6-ROUNDUP(A11/12,0))/100,IF(Inputs!$B$35="3-2-1 step-down",MAX(0,4-ROUNDUP(A11/12,0))/100,0)))</f>
        <v>0.05</v>
      </c>
      <c r="I11" s="35" t="n">
        <f aca="false">IF(A11="","",G11*(1+H11))</f>
        <v>3448534.85673007</v>
      </c>
    </row>
    <row r="12" customFormat="false" ht="15" hidden="false" customHeight="false" outlineLevel="0" collapsed="false">
      <c r="A12" s="29" t="n">
        <f aca="false">IF(7&gt;Sizing!$B$25,"",7)</f>
        <v>7</v>
      </c>
      <c r="B12" s="30" t="n">
        <f aca="false">IF(A12="","",EDATE(Inputs!$B$29,7-1))</f>
        <v>46539</v>
      </c>
      <c r="C12" s="31" t="n">
        <f aca="false">IF(A12="","",G11)</f>
        <v>3284318.91117149</v>
      </c>
      <c r="D12" s="31" t="n">
        <f aca="false">IF(A12="","",MIN(Sizing!$B$32,C12*(1+Sizing!$B$24/12)))</f>
        <v>22511.8172418543</v>
      </c>
      <c r="E12" s="31" t="n">
        <f aca="false">IF(A12="","",C12*Sizing!$B$24/12)</f>
        <v>19842.7600883278</v>
      </c>
      <c r="F12" s="31" t="n">
        <f aca="false">IF(A12="","",D12-E12)</f>
        <v>2669.05715352656</v>
      </c>
      <c r="G12" s="31" t="n">
        <f aca="false">IF(A12="","",MAX(0,C12-F12))</f>
        <v>3281649.85401797</v>
      </c>
      <c r="H12" s="32" t="n">
        <f aca="false">IF(A12="","",IF(Inputs!$B$35="5-4-3-2-1 step-down",MAX(0,6-ROUNDUP(A12/12,0))/100,IF(Inputs!$B$35="3-2-1 step-down",MAX(0,4-ROUNDUP(A12/12,0))/100,0)))</f>
        <v>0.05</v>
      </c>
      <c r="I12" s="31" t="n">
        <f aca="false">IF(A12="","",G12*(1+H12))</f>
        <v>3445732.34671887</v>
      </c>
    </row>
    <row r="13" customFormat="false" ht="15" hidden="false" customHeight="false" outlineLevel="0" collapsed="false">
      <c r="A13" s="33" t="n">
        <f aca="false">IF(8&gt;Sizing!$B$25,"",8)</f>
        <v>8</v>
      </c>
      <c r="B13" s="34" t="n">
        <f aca="false">IF(A13="","",EDATE(Inputs!$B$29,8-1))</f>
        <v>46569</v>
      </c>
      <c r="C13" s="35" t="n">
        <f aca="false">IF(A13="","",G12)</f>
        <v>3281649.85401797</v>
      </c>
      <c r="D13" s="35" t="n">
        <f aca="false">IF(A13="","",MIN(Sizing!$B$32,C13*(1+Sizing!$B$24/12)))</f>
        <v>22511.8172418543</v>
      </c>
      <c r="E13" s="35" t="n">
        <f aca="false">IF(A13="","",C13*Sizing!$B$24/12)</f>
        <v>19826.6345346919</v>
      </c>
      <c r="F13" s="35" t="n">
        <f aca="false">IF(A13="","",D13-E13)</f>
        <v>2685.18270716245</v>
      </c>
      <c r="G13" s="35" t="n">
        <f aca="false">IF(A13="","",MAX(0,C13-F13))</f>
        <v>3278964.67131081</v>
      </c>
      <c r="H13" s="36" t="n">
        <f aca="false">IF(A13="","",IF(Inputs!$B$35="5-4-3-2-1 step-down",MAX(0,6-ROUNDUP(A13/12,0))/100,IF(Inputs!$B$35="3-2-1 step-down",MAX(0,4-ROUNDUP(A13/12,0))/100,0)))</f>
        <v>0.05</v>
      </c>
      <c r="I13" s="35" t="n">
        <f aca="false">IF(A13="","",G13*(1+H13))</f>
        <v>3442912.90487635</v>
      </c>
    </row>
    <row r="14" customFormat="false" ht="15" hidden="false" customHeight="false" outlineLevel="0" collapsed="false">
      <c r="A14" s="29" t="n">
        <f aca="false">IF(9&gt;Sizing!$B$25,"",9)</f>
        <v>9</v>
      </c>
      <c r="B14" s="30" t="n">
        <f aca="false">IF(A14="","",EDATE(Inputs!$B$29,9-1))</f>
        <v>46600</v>
      </c>
      <c r="C14" s="31" t="n">
        <f aca="false">IF(A14="","",G13)</f>
        <v>3278964.67131081</v>
      </c>
      <c r="D14" s="31" t="n">
        <f aca="false">IF(A14="","",MIN(Sizing!$B$32,C14*(1+Sizing!$B$24/12)))</f>
        <v>22511.8172418543</v>
      </c>
      <c r="E14" s="31" t="n">
        <f aca="false">IF(A14="","",C14*Sizing!$B$24/12)</f>
        <v>19810.4115558361</v>
      </c>
      <c r="F14" s="31" t="n">
        <f aca="false">IF(A14="","",D14-E14)</f>
        <v>2701.40568601822</v>
      </c>
      <c r="G14" s="31" t="n">
        <f aca="false">IF(A14="","",MAX(0,C14-F14))</f>
        <v>3276263.26562479</v>
      </c>
      <c r="H14" s="32" t="n">
        <f aca="false">IF(A14="","",IF(Inputs!$B$35="5-4-3-2-1 step-down",MAX(0,6-ROUNDUP(A14/12,0))/100,IF(Inputs!$B$35="3-2-1 step-down",MAX(0,4-ROUNDUP(A14/12,0))/100,0)))</f>
        <v>0.05</v>
      </c>
      <c r="I14" s="31" t="n">
        <f aca="false">IF(A14="","",G14*(1+H14))</f>
        <v>3440076.42890603</v>
      </c>
    </row>
    <row r="15" customFormat="false" ht="15" hidden="false" customHeight="false" outlineLevel="0" collapsed="false">
      <c r="A15" s="33" t="n">
        <f aca="false">IF(10&gt;Sizing!$B$25,"",10)</f>
        <v>10</v>
      </c>
      <c r="B15" s="34" t="n">
        <f aca="false">IF(A15="","",EDATE(Inputs!$B$29,10-1))</f>
        <v>46631</v>
      </c>
      <c r="C15" s="35" t="n">
        <f aca="false">IF(A15="","",G14)</f>
        <v>3276263.26562479</v>
      </c>
      <c r="D15" s="35" t="n">
        <f aca="false">IF(A15="","",MIN(Sizing!$B$32,C15*(1+Sizing!$B$24/12)))</f>
        <v>22511.8172418543</v>
      </c>
      <c r="E15" s="35" t="n">
        <f aca="false">IF(A15="","",C15*Sizing!$B$24/12)</f>
        <v>19794.0905631498</v>
      </c>
      <c r="F15" s="35" t="n">
        <f aca="false">IF(A15="","",D15-E15)</f>
        <v>2717.72667870458</v>
      </c>
      <c r="G15" s="35" t="n">
        <f aca="false">IF(A15="","",MAX(0,C15-F15))</f>
        <v>3273545.53894608</v>
      </c>
      <c r="H15" s="36" t="n">
        <f aca="false">IF(A15="","",IF(Inputs!$B$35="5-4-3-2-1 step-down",MAX(0,6-ROUNDUP(A15/12,0))/100,IF(Inputs!$B$35="3-2-1 step-down",MAX(0,4-ROUNDUP(A15/12,0))/100,0)))</f>
        <v>0.05</v>
      </c>
      <c r="I15" s="35" t="n">
        <f aca="false">IF(A15="","",G15*(1+H15))</f>
        <v>3437222.81589339</v>
      </c>
    </row>
    <row r="16" customFormat="false" ht="15" hidden="false" customHeight="false" outlineLevel="0" collapsed="false">
      <c r="A16" s="29" t="n">
        <f aca="false">IF(11&gt;Sizing!$B$25,"",11)</f>
        <v>11</v>
      </c>
      <c r="B16" s="30" t="n">
        <f aca="false">IF(A16="","",EDATE(Inputs!$B$29,11-1))</f>
        <v>46661</v>
      </c>
      <c r="C16" s="31" t="n">
        <f aca="false">IF(A16="","",G15)</f>
        <v>3273545.53894608</v>
      </c>
      <c r="D16" s="31" t="n">
        <f aca="false">IF(A16="","",MIN(Sizing!$B$32,C16*(1+Sizing!$B$24/12)))</f>
        <v>22511.8172418543</v>
      </c>
      <c r="E16" s="31" t="n">
        <f aca="false">IF(A16="","",C16*Sizing!$B$24/12)</f>
        <v>19777.6709644659</v>
      </c>
      <c r="F16" s="31" t="n">
        <f aca="false">IF(A16="","",D16-E16)</f>
        <v>2734.14627738842</v>
      </c>
      <c r="G16" s="31" t="n">
        <f aca="false">IF(A16="","",MAX(0,C16-F16))</f>
        <v>3270811.39266869</v>
      </c>
      <c r="H16" s="32" t="n">
        <f aca="false">IF(A16="","",IF(Inputs!$B$35="5-4-3-2-1 step-down",MAX(0,6-ROUNDUP(A16/12,0))/100,IF(Inputs!$B$35="3-2-1 step-down",MAX(0,4-ROUNDUP(A16/12,0))/100,0)))</f>
        <v>0.05</v>
      </c>
      <c r="I16" s="31" t="n">
        <f aca="false">IF(A16="","",G16*(1+H16))</f>
        <v>3434351.96230213</v>
      </c>
    </row>
    <row r="17" customFormat="false" ht="15" hidden="false" customHeight="false" outlineLevel="0" collapsed="false">
      <c r="A17" s="33" t="n">
        <f aca="false">IF(12&gt;Sizing!$B$25,"",12)</f>
        <v>12</v>
      </c>
      <c r="B17" s="34" t="n">
        <f aca="false">IF(A17="","",EDATE(Inputs!$B$29,12-1))</f>
        <v>46692</v>
      </c>
      <c r="C17" s="35" t="n">
        <f aca="false">IF(A17="","",G16)</f>
        <v>3270811.39266869</v>
      </c>
      <c r="D17" s="35" t="n">
        <f aca="false">IF(A17="","",MIN(Sizing!$B$32,C17*(1+Sizing!$B$24/12)))</f>
        <v>22511.8172418543</v>
      </c>
      <c r="E17" s="35" t="n">
        <f aca="false">IF(A17="","",C17*Sizing!$B$24/12)</f>
        <v>19761.15216404</v>
      </c>
      <c r="F17" s="35" t="n">
        <f aca="false">IF(A17="","",D17-E17)</f>
        <v>2750.66507781431</v>
      </c>
      <c r="G17" s="35" t="n">
        <f aca="false">IF(A17="","",MAX(0,C17-F17))</f>
        <v>3268060.72759088</v>
      </c>
      <c r="H17" s="36" t="n">
        <f aca="false">IF(A17="","",IF(Inputs!$B$35="5-4-3-2-1 step-down",MAX(0,6-ROUNDUP(A17/12,0))/100,IF(Inputs!$B$35="3-2-1 step-down",MAX(0,4-ROUNDUP(A17/12,0))/100,0)))</f>
        <v>0.05</v>
      </c>
      <c r="I17" s="35" t="n">
        <f aca="false">IF(A17="","",G17*(1+H17))</f>
        <v>3431463.76397042</v>
      </c>
    </row>
    <row r="18" customFormat="false" ht="15" hidden="false" customHeight="false" outlineLevel="0" collapsed="false">
      <c r="A18" s="29" t="n">
        <f aca="false">IF(13&gt;Sizing!$B$25,"",13)</f>
        <v>13</v>
      </c>
      <c r="B18" s="30" t="n">
        <f aca="false">IF(A18="","",EDATE(Inputs!$B$29,13-1))</f>
        <v>46722</v>
      </c>
      <c r="C18" s="31" t="n">
        <f aca="false">IF(A18="","",G17)</f>
        <v>3268060.72759088</v>
      </c>
      <c r="D18" s="31" t="n">
        <f aca="false">IF(A18="","",MIN(Sizing!$B$32,C18*(1+Sizing!$B$24/12)))</f>
        <v>22511.8172418543</v>
      </c>
      <c r="E18" s="31" t="n">
        <f aca="false">IF(A18="","",C18*Sizing!$B$24/12)</f>
        <v>19744.5335625282</v>
      </c>
      <c r="F18" s="31" t="n">
        <f aca="false">IF(A18="","",D18-E18)</f>
        <v>2767.2836793261</v>
      </c>
      <c r="G18" s="31" t="n">
        <f aca="false">IF(A18="","",MAX(0,C18-F18))</f>
        <v>3265293.44391155</v>
      </c>
      <c r="H18" s="32" t="n">
        <f aca="false">IF(A18="","",IF(Inputs!$B$35="5-4-3-2-1 step-down",MAX(0,6-ROUNDUP(A18/12,0))/100,IF(Inputs!$B$35="3-2-1 step-down",MAX(0,4-ROUNDUP(A18/12,0))/100,0)))</f>
        <v>0.04</v>
      </c>
      <c r="I18" s="31" t="n">
        <f aca="false">IF(A18="","",G18*(1+H18))</f>
        <v>3395905.18166802</v>
      </c>
    </row>
    <row r="19" customFormat="false" ht="15" hidden="false" customHeight="false" outlineLevel="0" collapsed="false">
      <c r="A19" s="33" t="n">
        <f aca="false">IF(14&gt;Sizing!$B$25,"",14)</f>
        <v>14</v>
      </c>
      <c r="B19" s="34" t="n">
        <f aca="false">IF(A19="","",EDATE(Inputs!$B$29,14-1))</f>
        <v>46753</v>
      </c>
      <c r="C19" s="35" t="n">
        <f aca="false">IF(A19="","",G18)</f>
        <v>3265293.44391155</v>
      </c>
      <c r="D19" s="35" t="n">
        <f aca="false">IF(A19="","",MIN(Sizing!$B$32,C19*(1+Sizing!$B$24/12)))</f>
        <v>22511.8172418543</v>
      </c>
      <c r="E19" s="35" t="n">
        <f aca="false">IF(A19="","",C19*Sizing!$B$24/12)</f>
        <v>19727.8145569656</v>
      </c>
      <c r="F19" s="35" t="n">
        <f aca="false">IF(A19="","",D19-E19)</f>
        <v>2784.0026848887</v>
      </c>
      <c r="G19" s="35" t="n">
        <f aca="false">IF(A19="","",MAX(0,C19-F19))</f>
        <v>3262509.44122667</v>
      </c>
      <c r="H19" s="36" t="n">
        <f aca="false">IF(A19="","",IF(Inputs!$B$35="5-4-3-2-1 step-down",MAX(0,6-ROUNDUP(A19/12,0))/100,IF(Inputs!$B$35="3-2-1 step-down",MAX(0,4-ROUNDUP(A19/12,0))/100,0)))</f>
        <v>0.04</v>
      </c>
      <c r="I19" s="35" t="n">
        <f aca="false">IF(A19="","",G19*(1+H19))</f>
        <v>3393009.81887573</v>
      </c>
    </row>
    <row r="20" customFormat="false" ht="15" hidden="false" customHeight="false" outlineLevel="0" collapsed="false">
      <c r="A20" s="29" t="n">
        <f aca="false">IF(15&gt;Sizing!$B$25,"",15)</f>
        <v>15</v>
      </c>
      <c r="B20" s="30" t="n">
        <f aca="false">IF(A20="","",EDATE(Inputs!$B$29,15-1))</f>
        <v>46784</v>
      </c>
      <c r="C20" s="31" t="n">
        <f aca="false">IF(A20="","",G19)</f>
        <v>3262509.44122667</v>
      </c>
      <c r="D20" s="31" t="n">
        <f aca="false">IF(A20="","",MIN(Sizing!$B$32,C20*(1+Sizing!$B$24/12)))</f>
        <v>22511.8172418543</v>
      </c>
      <c r="E20" s="31" t="n">
        <f aca="false">IF(A20="","",C20*Sizing!$B$24/12)</f>
        <v>19710.9945407444</v>
      </c>
      <c r="F20" s="31" t="n">
        <f aca="false">IF(A20="","",D20-E20)</f>
        <v>2800.8227011099</v>
      </c>
      <c r="G20" s="31" t="n">
        <f aca="false">IF(A20="","",MAX(0,C20-F20))</f>
        <v>3259708.61852556</v>
      </c>
      <c r="H20" s="32" t="n">
        <f aca="false">IF(A20="","",IF(Inputs!$B$35="5-4-3-2-1 step-down",MAX(0,6-ROUNDUP(A20/12,0))/100,IF(Inputs!$B$35="3-2-1 step-down",MAX(0,4-ROUNDUP(A20/12,0))/100,0)))</f>
        <v>0.04</v>
      </c>
      <c r="I20" s="31" t="n">
        <f aca="false">IF(A20="","",G20*(1+H20))</f>
        <v>3390096.96326658</v>
      </c>
    </row>
    <row r="21" customFormat="false" ht="15" hidden="false" customHeight="false" outlineLevel="0" collapsed="false">
      <c r="A21" s="33" t="n">
        <f aca="false">IF(16&gt;Sizing!$B$25,"",16)</f>
        <v>16</v>
      </c>
      <c r="B21" s="34" t="n">
        <f aca="false">IF(A21="","",EDATE(Inputs!$B$29,16-1))</f>
        <v>46813</v>
      </c>
      <c r="C21" s="35" t="n">
        <f aca="false">IF(A21="","",G20)</f>
        <v>3259708.61852556</v>
      </c>
      <c r="D21" s="35" t="n">
        <f aca="false">IF(A21="","",MIN(Sizing!$B$32,C21*(1+Sizing!$B$24/12)))</f>
        <v>22511.8172418543</v>
      </c>
      <c r="E21" s="35" t="n">
        <f aca="false">IF(A21="","",C21*Sizing!$B$24/12)</f>
        <v>19694.0729035919</v>
      </c>
      <c r="F21" s="35" t="n">
        <f aca="false">IF(A21="","",D21-E21)</f>
        <v>2817.74433826244</v>
      </c>
      <c r="G21" s="35" t="n">
        <f aca="false">IF(A21="","",MAX(0,C21-F21))</f>
        <v>3256890.87418729</v>
      </c>
      <c r="H21" s="36" t="n">
        <f aca="false">IF(A21="","",IF(Inputs!$B$35="5-4-3-2-1 step-down",MAX(0,6-ROUNDUP(A21/12,0))/100,IF(Inputs!$B$35="3-2-1 step-down",MAX(0,4-ROUNDUP(A21/12,0))/100,0)))</f>
        <v>0.04</v>
      </c>
      <c r="I21" s="35" t="n">
        <f aca="false">IF(A21="","",G21*(1+H21))</f>
        <v>3387166.50915478</v>
      </c>
    </row>
    <row r="22" customFormat="false" ht="15" hidden="false" customHeight="false" outlineLevel="0" collapsed="false">
      <c r="A22" s="29" t="n">
        <f aca="false">IF(17&gt;Sizing!$B$25,"",17)</f>
        <v>17</v>
      </c>
      <c r="B22" s="30" t="n">
        <f aca="false">IF(A22="","",EDATE(Inputs!$B$29,17-1))</f>
        <v>46844</v>
      </c>
      <c r="C22" s="31" t="n">
        <f aca="false">IF(A22="","",G21)</f>
        <v>3256890.87418729</v>
      </c>
      <c r="D22" s="31" t="n">
        <f aca="false">IF(A22="","",MIN(Sizing!$B$32,C22*(1+Sizing!$B$24/12)))</f>
        <v>22511.8172418543</v>
      </c>
      <c r="E22" s="31" t="n">
        <f aca="false">IF(A22="","",C22*Sizing!$B$24/12)</f>
        <v>19677.0490315482</v>
      </c>
      <c r="F22" s="31" t="n">
        <f aca="false">IF(A22="","",D22-E22)</f>
        <v>2834.76821030611</v>
      </c>
      <c r="G22" s="31" t="n">
        <f aca="false">IF(A22="","",MAX(0,C22-F22))</f>
        <v>3254056.10597699</v>
      </c>
      <c r="H22" s="32" t="n">
        <f aca="false">IF(A22="","",IF(Inputs!$B$35="5-4-3-2-1 step-down",MAX(0,6-ROUNDUP(A22/12,0))/100,IF(Inputs!$B$35="3-2-1 step-down",MAX(0,4-ROUNDUP(A22/12,0))/100,0)))</f>
        <v>0.04</v>
      </c>
      <c r="I22" s="31" t="n">
        <f aca="false">IF(A22="","",G22*(1+H22))</f>
        <v>3384218.35021607</v>
      </c>
    </row>
    <row r="23" customFormat="false" ht="15" hidden="false" customHeight="false" outlineLevel="0" collapsed="false">
      <c r="A23" s="33" t="n">
        <f aca="false">IF(18&gt;Sizing!$B$25,"",18)</f>
        <v>18</v>
      </c>
      <c r="B23" s="34" t="n">
        <f aca="false">IF(A23="","",EDATE(Inputs!$B$29,18-1))</f>
        <v>46874</v>
      </c>
      <c r="C23" s="35" t="n">
        <f aca="false">IF(A23="","",G22)</f>
        <v>3254056.10597699</v>
      </c>
      <c r="D23" s="35" t="n">
        <f aca="false">IF(A23="","",MIN(Sizing!$B$32,C23*(1+Sizing!$B$24/12)))</f>
        <v>22511.8172418543</v>
      </c>
      <c r="E23" s="35" t="n">
        <f aca="false">IF(A23="","",C23*Sizing!$B$24/12)</f>
        <v>19659.9223069443</v>
      </c>
      <c r="F23" s="35" t="n">
        <f aca="false">IF(A23="","",D23-E23)</f>
        <v>2851.89493491004</v>
      </c>
      <c r="G23" s="35" t="n">
        <f aca="false">IF(A23="","",MAX(0,C23-F23))</f>
        <v>3251204.21104208</v>
      </c>
      <c r="H23" s="36" t="n">
        <f aca="false">IF(A23="","",IF(Inputs!$B$35="5-4-3-2-1 step-down",MAX(0,6-ROUNDUP(A23/12,0))/100,IF(Inputs!$B$35="3-2-1 step-down",MAX(0,4-ROUNDUP(A23/12,0))/100,0)))</f>
        <v>0.04</v>
      </c>
      <c r="I23" s="35" t="n">
        <f aca="false">IF(A23="","",G23*(1+H23))</f>
        <v>3381252.37948376</v>
      </c>
    </row>
    <row r="24" customFormat="false" ht="15" hidden="false" customHeight="false" outlineLevel="0" collapsed="false">
      <c r="A24" s="29" t="n">
        <f aca="false">IF(19&gt;Sizing!$B$25,"",19)</f>
        <v>19</v>
      </c>
      <c r="B24" s="30" t="n">
        <f aca="false">IF(A24="","",EDATE(Inputs!$B$29,19-1))</f>
        <v>46905</v>
      </c>
      <c r="C24" s="31" t="n">
        <f aca="false">IF(A24="","",G23)</f>
        <v>3251204.21104208</v>
      </c>
      <c r="D24" s="31" t="n">
        <f aca="false">IF(A24="","",MIN(Sizing!$B$32,C24*(1+Sizing!$B$24/12)))</f>
        <v>22511.8172418543</v>
      </c>
      <c r="E24" s="31" t="n">
        <f aca="false">IF(A24="","",C24*Sizing!$B$24/12)</f>
        <v>19642.6921083792</v>
      </c>
      <c r="F24" s="31" t="n">
        <f aca="false">IF(A24="","",D24-E24)</f>
        <v>2869.12513347513</v>
      </c>
      <c r="G24" s="31" t="n">
        <f aca="false">IF(A24="","",MAX(0,C24-F24))</f>
        <v>3248335.0859086</v>
      </c>
      <c r="H24" s="32" t="n">
        <f aca="false">IF(A24="","",IF(Inputs!$B$35="5-4-3-2-1 step-down",MAX(0,6-ROUNDUP(A24/12,0))/100,IF(Inputs!$B$35="3-2-1 step-down",MAX(0,4-ROUNDUP(A24/12,0))/100,0)))</f>
        <v>0.04</v>
      </c>
      <c r="I24" s="31" t="n">
        <f aca="false">IF(A24="","",G24*(1+H24))</f>
        <v>3378268.48934495</v>
      </c>
    </row>
    <row r="25" customFormat="false" ht="15" hidden="false" customHeight="false" outlineLevel="0" collapsed="false">
      <c r="A25" s="33" t="n">
        <f aca="false">IF(20&gt;Sizing!$B$25,"",20)</f>
        <v>20</v>
      </c>
      <c r="B25" s="34" t="n">
        <f aca="false">IF(A25="","",EDATE(Inputs!$B$29,20-1))</f>
        <v>46935</v>
      </c>
      <c r="C25" s="35" t="n">
        <f aca="false">IF(A25="","",G24)</f>
        <v>3248335.0859086</v>
      </c>
      <c r="D25" s="35" t="n">
        <f aca="false">IF(A25="","",MIN(Sizing!$B$32,C25*(1+Sizing!$B$24/12)))</f>
        <v>22511.8172418543</v>
      </c>
      <c r="E25" s="35" t="n">
        <f aca="false">IF(A25="","",C25*Sizing!$B$24/12)</f>
        <v>19625.3578106978</v>
      </c>
      <c r="F25" s="35" t="n">
        <f aca="false">IF(A25="","",D25-E25)</f>
        <v>2886.45943115653</v>
      </c>
      <c r="G25" s="35" t="n">
        <f aca="false">IF(A25="","",MAX(0,C25-F25))</f>
        <v>3245448.62647744</v>
      </c>
      <c r="H25" s="36" t="n">
        <f aca="false">IF(A25="","",IF(Inputs!$B$35="5-4-3-2-1 step-down",MAX(0,6-ROUNDUP(A25/12,0))/100,IF(Inputs!$B$35="3-2-1 step-down",MAX(0,4-ROUNDUP(A25/12,0))/100,0)))</f>
        <v>0.04</v>
      </c>
      <c r="I25" s="35" t="n">
        <f aca="false">IF(A25="","",G25*(1+H25))</f>
        <v>3375266.57153654</v>
      </c>
    </row>
    <row r="26" customFormat="false" ht="15" hidden="false" customHeight="false" outlineLevel="0" collapsed="false">
      <c r="A26" s="29" t="n">
        <f aca="false">IF(21&gt;Sizing!$B$25,"",21)</f>
        <v>21</v>
      </c>
      <c r="B26" s="30" t="n">
        <f aca="false">IF(A26="","",EDATE(Inputs!$B$29,21-1))</f>
        <v>46966</v>
      </c>
      <c r="C26" s="31" t="n">
        <f aca="false">IF(A26="","",G25)</f>
        <v>3245448.62647744</v>
      </c>
      <c r="D26" s="31" t="n">
        <f aca="false">IF(A26="","",MIN(Sizing!$B$32,C26*(1+Sizing!$B$24/12)))</f>
        <v>22511.8172418543</v>
      </c>
      <c r="E26" s="31" t="n">
        <f aca="false">IF(A26="","",C26*Sizing!$B$24/12)</f>
        <v>19607.9187849679</v>
      </c>
      <c r="F26" s="31" t="n">
        <f aca="false">IF(A26="","",D26-E26)</f>
        <v>2903.89845688644</v>
      </c>
      <c r="G26" s="31" t="n">
        <f aca="false">IF(A26="","",MAX(0,C26-F26))</f>
        <v>3242544.72802056</v>
      </c>
      <c r="H26" s="32" t="n">
        <f aca="false">IF(A26="","",IF(Inputs!$B$35="5-4-3-2-1 step-down",MAX(0,6-ROUNDUP(A26/12,0))/100,IF(Inputs!$B$35="3-2-1 step-down",MAX(0,4-ROUNDUP(A26/12,0))/100,0)))</f>
        <v>0.04</v>
      </c>
      <c r="I26" s="31" t="n">
        <f aca="false">IF(A26="","",G26*(1+H26))</f>
        <v>3372246.51714138</v>
      </c>
    </row>
    <row r="27" customFormat="false" ht="15" hidden="false" customHeight="false" outlineLevel="0" collapsed="false">
      <c r="A27" s="33" t="n">
        <f aca="false">IF(22&gt;Sizing!$B$25,"",22)</f>
        <v>22</v>
      </c>
      <c r="B27" s="34" t="n">
        <f aca="false">IF(A27="","",EDATE(Inputs!$B$29,22-1))</f>
        <v>46997</v>
      </c>
      <c r="C27" s="35" t="n">
        <f aca="false">IF(A27="","",G26)</f>
        <v>3242544.72802056</v>
      </c>
      <c r="D27" s="35" t="n">
        <f aca="false">IF(A27="","",MIN(Sizing!$B$32,C27*(1+Sizing!$B$24/12)))</f>
        <v>22511.8172418543</v>
      </c>
      <c r="E27" s="35" t="n">
        <f aca="false">IF(A27="","",C27*Sizing!$B$24/12)</f>
        <v>19590.3743984575</v>
      </c>
      <c r="F27" s="35" t="n">
        <f aca="false">IF(A27="","",D27-E27)</f>
        <v>2921.4428433968</v>
      </c>
      <c r="G27" s="35" t="n">
        <f aca="false">IF(A27="","",MAX(0,C27-F27))</f>
        <v>3239623.28517716</v>
      </c>
      <c r="H27" s="36" t="n">
        <f aca="false">IF(A27="","",IF(Inputs!$B$35="5-4-3-2-1 step-down",MAX(0,6-ROUNDUP(A27/12,0))/100,IF(Inputs!$B$35="3-2-1 step-down",MAX(0,4-ROUNDUP(A27/12,0))/100,0)))</f>
        <v>0.04</v>
      </c>
      <c r="I27" s="35" t="n">
        <f aca="false">IF(A27="","",G27*(1+H27))</f>
        <v>3369208.21658425</v>
      </c>
    </row>
    <row r="28" customFormat="false" ht="15" hidden="false" customHeight="false" outlineLevel="0" collapsed="false">
      <c r="A28" s="29" t="n">
        <f aca="false">IF(23&gt;Sizing!$B$25,"",23)</f>
        <v>23</v>
      </c>
      <c r="B28" s="30" t="n">
        <f aca="false">IF(A28="","",EDATE(Inputs!$B$29,23-1))</f>
        <v>47027</v>
      </c>
      <c r="C28" s="31" t="n">
        <f aca="false">IF(A28="","",G27)</f>
        <v>3239623.28517716</v>
      </c>
      <c r="D28" s="31" t="n">
        <f aca="false">IF(A28="","",MIN(Sizing!$B$32,C28*(1+Sizing!$B$24/12)))</f>
        <v>22511.8172418543</v>
      </c>
      <c r="E28" s="31" t="n">
        <f aca="false">IF(A28="","",C28*Sizing!$B$24/12)</f>
        <v>19572.724014612</v>
      </c>
      <c r="F28" s="31" t="n">
        <f aca="false">IF(A28="","",D28-E28)</f>
        <v>2939.09322724232</v>
      </c>
      <c r="G28" s="31" t="n">
        <f aca="false">IF(A28="","",MAX(0,C28-F28))</f>
        <v>3236684.19194992</v>
      </c>
      <c r="H28" s="32" t="n">
        <f aca="false">IF(A28="","",IF(Inputs!$B$35="5-4-3-2-1 step-down",MAX(0,6-ROUNDUP(A28/12,0))/100,IF(Inputs!$B$35="3-2-1 step-down",MAX(0,4-ROUNDUP(A28/12,0))/100,0)))</f>
        <v>0.04</v>
      </c>
      <c r="I28" s="31" t="n">
        <f aca="false">IF(A28="","",G28*(1+H28))</f>
        <v>3366151.55962792</v>
      </c>
    </row>
    <row r="29" customFormat="false" ht="15" hidden="false" customHeight="false" outlineLevel="0" collapsed="false">
      <c r="A29" s="33" t="n">
        <f aca="false">IF(24&gt;Sizing!$B$25,"",24)</f>
        <v>24</v>
      </c>
      <c r="B29" s="34" t="n">
        <f aca="false">IF(A29="","",EDATE(Inputs!$B$29,24-1))</f>
        <v>47058</v>
      </c>
      <c r="C29" s="35" t="n">
        <f aca="false">IF(A29="","",G28)</f>
        <v>3236684.19194992</v>
      </c>
      <c r="D29" s="35" t="n">
        <f aca="false">IF(A29="","",MIN(Sizing!$B$32,C29*(1+Sizing!$B$24/12)))</f>
        <v>22511.8172418543</v>
      </c>
      <c r="E29" s="35" t="n">
        <f aca="false">IF(A29="","",C29*Sizing!$B$24/12)</f>
        <v>19554.9669930308</v>
      </c>
      <c r="F29" s="35" t="n">
        <f aca="false">IF(A29="","",D29-E29)</f>
        <v>2956.85024882357</v>
      </c>
      <c r="G29" s="35" t="n">
        <f aca="false">IF(A29="","",MAX(0,C29-F29))</f>
        <v>3233727.3417011</v>
      </c>
      <c r="H29" s="36" t="n">
        <f aca="false">IF(A29="","",IF(Inputs!$B$35="5-4-3-2-1 step-down",MAX(0,6-ROUNDUP(A29/12,0))/100,IF(Inputs!$B$35="3-2-1 step-down",MAX(0,4-ROUNDUP(A29/12,0))/100,0)))</f>
        <v>0.04</v>
      </c>
      <c r="I29" s="35" t="n">
        <f aca="false">IF(A29="","",G29*(1+H29))</f>
        <v>3363076.43536914</v>
      </c>
    </row>
    <row r="30" customFormat="false" ht="15" hidden="false" customHeight="false" outlineLevel="0" collapsed="false">
      <c r="A30" s="29" t="n">
        <f aca="false">IF(25&gt;Sizing!$B$25,"",25)</f>
        <v>25</v>
      </c>
      <c r="B30" s="30" t="n">
        <f aca="false">IF(A30="","",EDATE(Inputs!$B$29,25-1))</f>
        <v>47088</v>
      </c>
      <c r="C30" s="31" t="n">
        <f aca="false">IF(A30="","",G29)</f>
        <v>3233727.3417011</v>
      </c>
      <c r="D30" s="31" t="n">
        <f aca="false">IF(A30="","",MIN(Sizing!$B$32,C30*(1+Sizing!$B$24/12)))</f>
        <v>22511.8172418543</v>
      </c>
      <c r="E30" s="31" t="n">
        <f aca="false">IF(A30="","",C30*Sizing!$B$24/12)</f>
        <v>19537.1026894441</v>
      </c>
      <c r="F30" s="31" t="n">
        <f aca="false">IF(A30="","",D30-E30)</f>
        <v>2974.71455241021</v>
      </c>
      <c r="G30" s="31" t="n">
        <f aca="false">IF(A30="","",MAX(0,C30-F30))</f>
        <v>3230752.62714869</v>
      </c>
      <c r="H30" s="32" t="n">
        <f aca="false">IF(A30="","",IF(Inputs!$B$35="5-4-3-2-1 step-down",MAX(0,6-ROUNDUP(A30/12,0))/100,IF(Inputs!$B$35="3-2-1 step-down",MAX(0,4-ROUNDUP(A30/12,0))/100,0)))</f>
        <v>0.03</v>
      </c>
      <c r="I30" s="31" t="n">
        <f aca="false">IF(A30="","",G30*(1+H30))</f>
        <v>3327675.20596315</v>
      </c>
    </row>
    <row r="31" customFormat="false" ht="15" hidden="false" customHeight="false" outlineLevel="0" collapsed="false">
      <c r="A31" s="33" t="n">
        <f aca="false">IF(26&gt;Sizing!$B$25,"",26)</f>
        <v>26</v>
      </c>
      <c r="B31" s="34" t="n">
        <f aca="false">IF(A31="","",EDATE(Inputs!$B$29,26-1))</f>
        <v>47119</v>
      </c>
      <c r="C31" s="35" t="n">
        <f aca="false">IF(A31="","",G30)</f>
        <v>3230752.62714869</v>
      </c>
      <c r="D31" s="35" t="n">
        <f aca="false">IF(A31="","",MIN(Sizing!$B$32,C31*(1+Sizing!$B$24/12)))</f>
        <v>22511.8172418543</v>
      </c>
      <c r="E31" s="35" t="n">
        <f aca="false">IF(A31="","",C31*Sizing!$B$24/12)</f>
        <v>19519.13045569</v>
      </c>
      <c r="F31" s="35" t="n">
        <f aca="false">IF(A31="","",D31-E31)</f>
        <v>2992.68678616436</v>
      </c>
      <c r="G31" s="35" t="n">
        <f aca="false">IF(A31="","",MAX(0,C31-F31))</f>
        <v>3227759.94036252</v>
      </c>
      <c r="H31" s="36" t="n">
        <f aca="false">IF(A31="","",IF(Inputs!$B$35="5-4-3-2-1 step-down",MAX(0,6-ROUNDUP(A31/12,0))/100,IF(Inputs!$B$35="3-2-1 step-down",MAX(0,4-ROUNDUP(A31/12,0))/100,0)))</f>
        <v>0.03</v>
      </c>
      <c r="I31" s="35" t="n">
        <f aca="false">IF(A31="","",G31*(1+H31))</f>
        <v>3324592.7385734</v>
      </c>
    </row>
    <row r="32" customFormat="false" ht="15" hidden="false" customHeight="false" outlineLevel="0" collapsed="false">
      <c r="A32" s="29" t="n">
        <f aca="false">IF(27&gt;Sizing!$B$25,"",27)</f>
        <v>27</v>
      </c>
      <c r="B32" s="30" t="n">
        <f aca="false">IF(A32="","",EDATE(Inputs!$B$29,27-1))</f>
        <v>47150</v>
      </c>
      <c r="C32" s="31" t="n">
        <f aca="false">IF(A32="","",G31)</f>
        <v>3227759.94036252</v>
      </c>
      <c r="D32" s="31" t="n">
        <f aca="false">IF(A32="","",MIN(Sizing!$B$32,C32*(1+Sizing!$B$24/12)))</f>
        <v>22511.8172418543</v>
      </c>
      <c r="E32" s="31" t="n">
        <f aca="false">IF(A32="","",C32*Sizing!$B$24/12)</f>
        <v>19501.0496396902</v>
      </c>
      <c r="F32" s="31" t="n">
        <f aca="false">IF(A32="","",D32-E32)</f>
        <v>3010.76760216411</v>
      </c>
      <c r="G32" s="31" t="n">
        <f aca="false">IF(A32="","",MAX(0,C32-F32))</f>
        <v>3224749.17276036</v>
      </c>
      <c r="H32" s="32" t="n">
        <f aca="false">IF(A32="","",IF(Inputs!$B$35="5-4-3-2-1 step-down",MAX(0,6-ROUNDUP(A32/12,0))/100,IF(Inputs!$B$35="3-2-1 step-down",MAX(0,4-ROUNDUP(A32/12,0))/100,0)))</f>
        <v>0.03</v>
      </c>
      <c r="I32" s="31" t="n">
        <f aca="false">IF(A32="","",G32*(1+H32))</f>
        <v>3321491.64794317</v>
      </c>
    </row>
    <row r="33" customFormat="false" ht="15" hidden="false" customHeight="false" outlineLevel="0" collapsed="false">
      <c r="A33" s="33" t="n">
        <f aca="false">IF(28&gt;Sizing!$B$25,"",28)</f>
        <v>28</v>
      </c>
      <c r="B33" s="34" t="n">
        <f aca="false">IF(A33="","",EDATE(Inputs!$B$29,28-1))</f>
        <v>47178</v>
      </c>
      <c r="C33" s="35" t="n">
        <f aca="false">IF(A33="","",G32)</f>
        <v>3224749.17276036</v>
      </c>
      <c r="D33" s="35" t="n">
        <f aca="false">IF(A33="","",MIN(Sizing!$B$32,C33*(1+Sizing!$B$24/12)))</f>
        <v>22511.8172418543</v>
      </c>
      <c r="E33" s="35" t="n">
        <f aca="false">IF(A33="","",C33*Sizing!$B$24/12)</f>
        <v>19482.8595854272</v>
      </c>
      <c r="F33" s="35" t="n">
        <f aca="false">IF(A33="","",D33-E33)</f>
        <v>3028.95765642718</v>
      </c>
      <c r="G33" s="35" t="n">
        <f aca="false">IF(A33="","",MAX(0,C33-F33))</f>
        <v>3221720.21510393</v>
      </c>
      <c r="H33" s="36" t="n">
        <f aca="false">IF(A33="","",IF(Inputs!$B$35="5-4-3-2-1 step-down",MAX(0,6-ROUNDUP(A33/12,0))/100,IF(Inputs!$B$35="3-2-1 step-down",MAX(0,4-ROUNDUP(A33/12,0))/100,0)))</f>
        <v>0.03</v>
      </c>
      <c r="I33" s="35" t="n">
        <f aca="false">IF(A33="","",G33*(1+H33))</f>
        <v>3318371.82155705</v>
      </c>
    </row>
    <row r="34" customFormat="false" ht="15" hidden="false" customHeight="false" outlineLevel="0" collapsed="false">
      <c r="A34" s="29" t="n">
        <f aca="false">IF(29&gt;Sizing!$B$25,"",29)</f>
        <v>29</v>
      </c>
      <c r="B34" s="30" t="n">
        <f aca="false">IF(A34="","",EDATE(Inputs!$B$29,29-1))</f>
        <v>47209</v>
      </c>
      <c r="C34" s="31" t="n">
        <f aca="false">IF(A34="","",G33)</f>
        <v>3221720.21510393</v>
      </c>
      <c r="D34" s="31" t="n">
        <f aca="false">IF(A34="","",MIN(Sizing!$B$32,C34*(1+Sizing!$B$24/12)))</f>
        <v>22511.8172418543</v>
      </c>
      <c r="E34" s="31" t="n">
        <f aca="false">IF(A34="","",C34*Sizing!$B$24/12)</f>
        <v>19464.5596329196</v>
      </c>
      <c r="F34" s="31" t="n">
        <f aca="false">IF(A34="","",D34-E34)</f>
        <v>3047.25760893476</v>
      </c>
      <c r="G34" s="31" t="n">
        <f aca="false">IF(A34="","",MAX(0,C34-F34))</f>
        <v>3218672.95749499</v>
      </c>
      <c r="H34" s="32" t="n">
        <f aca="false">IF(A34="","",IF(Inputs!$B$35="5-4-3-2-1 step-down",MAX(0,6-ROUNDUP(A34/12,0))/100,IF(Inputs!$B$35="3-2-1 step-down",MAX(0,4-ROUNDUP(A34/12,0))/100,0)))</f>
        <v>0.03</v>
      </c>
      <c r="I34" s="31" t="n">
        <f aca="false">IF(A34="","",G34*(1+H34))</f>
        <v>3315233.14621984</v>
      </c>
    </row>
    <row r="35" customFormat="false" ht="15" hidden="false" customHeight="false" outlineLevel="0" collapsed="false">
      <c r="A35" s="33" t="n">
        <f aca="false">IF(30&gt;Sizing!$B$25,"",30)</f>
        <v>30</v>
      </c>
      <c r="B35" s="34" t="n">
        <f aca="false">IF(A35="","",EDATE(Inputs!$B$29,30-1))</f>
        <v>47239</v>
      </c>
      <c r="C35" s="35" t="n">
        <f aca="false">IF(A35="","",G34)</f>
        <v>3218672.95749499</v>
      </c>
      <c r="D35" s="35" t="n">
        <f aca="false">IF(A35="","",MIN(Sizing!$B$32,C35*(1+Sizing!$B$24/12)))</f>
        <v>22511.8172418543</v>
      </c>
      <c r="E35" s="35" t="n">
        <f aca="false">IF(A35="","",C35*Sizing!$B$24/12)</f>
        <v>19446.1491181989</v>
      </c>
      <c r="F35" s="35" t="n">
        <f aca="false">IF(A35="","",D35-E35)</f>
        <v>3065.66812365541</v>
      </c>
      <c r="G35" s="35" t="n">
        <f aca="false">IF(A35="","",MAX(0,C35-F35))</f>
        <v>3215607.28937134</v>
      </c>
      <c r="H35" s="36" t="n">
        <f aca="false">IF(A35="","",IF(Inputs!$B$35="5-4-3-2-1 step-down",MAX(0,6-ROUNDUP(A35/12,0))/100,IF(Inputs!$B$35="3-2-1 step-down",MAX(0,4-ROUNDUP(A35/12,0))/100,0)))</f>
        <v>0.03</v>
      </c>
      <c r="I35" s="35" t="n">
        <f aca="false">IF(A35="","",G35*(1+H35))</f>
        <v>3312075.50805248</v>
      </c>
    </row>
    <row r="36" customFormat="false" ht="15" hidden="false" customHeight="false" outlineLevel="0" collapsed="false">
      <c r="A36" s="29" t="n">
        <f aca="false">IF(31&gt;Sizing!$B$25,"",31)</f>
        <v>31</v>
      </c>
      <c r="B36" s="30" t="n">
        <f aca="false">IF(A36="","",EDATE(Inputs!$B$29,31-1))</f>
        <v>47270</v>
      </c>
      <c r="C36" s="31" t="n">
        <f aca="false">IF(A36="","",G35)</f>
        <v>3215607.28937134</v>
      </c>
      <c r="D36" s="31" t="n">
        <f aca="false">IF(A36="","",MIN(Sizing!$B$32,C36*(1+Sizing!$B$24/12)))</f>
        <v>22511.8172418543</v>
      </c>
      <c r="E36" s="31" t="n">
        <f aca="false">IF(A36="","",C36*Sizing!$B$24/12)</f>
        <v>19427.6273732852</v>
      </c>
      <c r="F36" s="31" t="n">
        <f aca="false">IF(A36="","",D36-E36)</f>
        <v>3084.18986856916</v>
      </c>
      <c r="G36" s="31" t="n">
        <f aca="false">IF(A36="","",MAX(0,C36-F36))</f>
        <v>3212523.09950277</v>
      </c>
      <c r="H36" s="32" t="n">
        <f aca="false">IF(A36="","",IF(Inputs!$B$35="5-4-3-2-1 step-down",MAX(0,6-ROUNDUP(A36/12,0))/100,IF(Inputs!$B$35="3-2-1 step-down",MAX(0,4-ROUNDUP(A36/12,0))/100,0)))</f>
        <v>0.03</v>
      </c>
      <c r="I36" s="31" t="n">
        <f aca="false">IF(A36="","",G36*(1+H36))</f>
        <v>3308898.79248785</v>
      </c>
    </row>
    <row r="37" customFormat="false" ht="15" hidden="false" customHeight="false" outlineLevel="0" collapsed="false">
      <c r="A37" s="33" t="n">
        <f aca="false">IF(32&gt;Sizing!$B$25,"",32)</f>
        <v>32</v>
      </c>
      <c r="B37" s="34" t="n">
        <f aca="false">IF(A37="","",EDATE(Inputs!$B$29,32-1))</f>
        <v>47300</v>
      </c>
      <c r="C37" s="35" t="n">
        <f aca="false">IF(A37="","",G36)</f>
        <v>3212523.09950277</v>
      </c>
      <c r="D37" s="35" t="n">
        <f aca="false">IF(A37="","",MIN(Sizing!$B$32,C37*(1+Sizing!$B$24/12)))</f>
        <v>22511.8172418543</v>
      </c>
      <c r="E37" s="35" t="n">
        <f aca="false">IF(A37="","",C37*Sizing!$B$24/12)</f>
        <v>19408.9937261626</v>
      </c>
      <c r="F37" s="35" t="n">
        <f aca="false">IF(A37="","",D37-E37)</f>
        <v>3102.82351569177</v>
      </c>
      <c r="G37" s="35" t="n">
        <f aca="false">IF(A37="","",MAX(0,C37-F37))</f>
        <v>3209420.27598708</v>
      </c>
      <c r="H37" s="36" t="n">
        <f aca="false">IF(A37="","",IF(Inputs!$B$35="5-4-3-2-1 step-down",MAX(0,6-ROUNDUP(A37/12,0))/100,IF(Inputs!$B$35="3-2-1 step-down",MAX(0,4-ROUNDUP(A37/12,0))/100,0)))</f>
        <v>0.03</v>
      </c>
      <c r="I37" s="35" t="n">
        <f aca="false">IF(A37="","",G37*(1+H37))</f>
        <v>3305702.88426669</v>
      </c>
    </row>
    <row r="38" customFormat="false" ht="15" hidden="false" customHeight="false" outlineLevel="0" collapsed="false">
      <c r="A38" s="29" t="n">
        <f aca="false">IF(33&gt;Sizing!$B$25,"",33)</f>
        <v>33</v>
      </c>
      <c r="B38" s="30" t="n">
        <f aca="false">IF(A38="","",EDATE(Inputs!$B$29,33-1))</f>
        <v>47331</v>
      </c>
      <c r="C38" s="31" t="n">
        <f aca="false">IF(A38="","",G37)</f>
        <v>3209420.27598708</v>
      </c>
      <c r="D38" s="31" t="n">
        <f aca="false">IF(A38="","",MIN(Sizing!$B$32,C38*(1+Sizing!$B$24/12)))</f>
        <v>22511.8172418543</v>
      </c>
      <c r="E38" s="31" t="n">
        <f aca="false">IF(A38="","",C38*Sizing!$B$24/12)</f>
        <v>19390.2475007553</v>
      </c>
      <c r="F38" s="31" t="n">
        <f aca="false">IF(A38="","",D38-E38)</f>
        <v>3121.56974109907</v>
      </c>
      <c r="G38" s="31" t="n">
        <f aca="false">IF(A38="","",MAX(0,C38-F38))</f>
        <v>3206298.70624598</v>
      </c>
      <c r="H38" s="32" t="n">
        <f aca="false">IF(A38="","",IF(Inputs!$B$35="5-4-3-2-1 step-down",MAX(0,6-ROUNDUP(A38/12,0))/100,IF(Inputs!$B$35="3-2-1 step-down",MAX(0,4-ROUNDUP(A38/12,0))/100,0)))</f>
        <v>0.03</v>
      </c>
      <c r="I38" s="31" t="n">
        <f aca="false">IF(A38="","",G38*(1+H38))</f>
        <v>3302487.66743336</v>
      </c>
    </row>
    <row r="39" customFormat="false" ht="15" hidden="false" customHeight="false" outlineLevel="0" collapsed="false">
      <c r="A39" s="33" t="n">
        <f aca="false">IF(34&gt;Sizing!$B$25,"",34)</f>
        <v>34</v>
      </c>
      <c r="B39" s="34" t="n">
        <f aca="false">IF(A39="","",EDATE(Inputs!$B$29,34-1))</f>
        <v>47362</v>
      </c>
      <c r="C39" s="35" t="n">
        <f aca="false">IF(A39="","",G38)</f>
        <v>3206298.70624598</v>
      </c>
      <c r="D39" s="35" t="n">
        <f aca="false">IF(A39="","",MIN(Sizing!$B$32,C39*(1+Sizing!$B$24/12)))</f>
        <v>22511.8172418543</v>
      </c>
      <c r="E39" s="35" t="n">
        <f aca="false">IF(A39="","",C39*Sizing!$B$24/12)</f>
        <v>19371.3880169028</v>
      </c>
      <c r="F39" s="35" t="n">
        <f aca="false">IF(A39="","",D39-E39)</f>
        <v>3140.42922495155</v>
      </c>
      <c r="G39" s="35" t="n">
        <f aca="false">IF(A39="","",MAX(0,C39-F39))</f>
        <v>3203158.27702103</v>
      </c>
      <c r="H39" s="36" t="n">
        <f aca="false">IF(A39="","",IF(Inputs!$B$35="5-4-3-2-1 step-down",MAX(0,6-ROUNDUP(A39/12,0))/100,IF(Inputs!$B$35="3-2-1 step-down",MAX(0,4-ROUNDUP(A39/12,0))/100,0)))</f>
        <v>0.03</v>
      </c>
      <c r="I39" s="35" t="n">
        <f aca="false">IF(A39="","",G39*(1+H39))</f>
        <v>3299253.02533166</v>
      </c>
    </row>
    <row r="40" customFormat="false" ht="15" hidden="false" customHeight="false" outlineLevel="0" collapsed="false">
      <c r="A40" s="29" t="n">
        <f aca="false">IF(35&gt;Sizing!$B$25,"",35)</f>
        <v>35</v>
      </c>
      <c r="B40" s="30" t="n">
        <f aca="false">IF(A40="","",EDATE(Inputs!$B$29,35-1))</f>
        <v>47392</v>
      </c>
      <c r="C40" s="31" t="n">
        <f aca="false">IF(A40="","",G39)</f>
        <v>3203158.27702103</v>
      </c>
      <c r="D40" s="31" t="n">
        <f aca="false">IF(A40="","",MIN(Sizing!$B$32,C40*(1+Sizing!$B$24/12)))</f>
        <v>22511.8172418543</v>
      </c>
      <c r="E40" s="31" t="n">
        <f aca="false">IF(A40="","",C40*Sizing!$B$24/12)</f>
        <v>19352.4145903354</v>
      </c>
      <c r="F40" s="31" t="n">
        <f aca="false">IF(A40="","",D40-E40)</f>
        <v>3159.40265151896</v>
      </c>
      <c r="G40" s="31" t="n">
        <f aca="false">IF(A40="","",MAX(0,C40-F40))</f>
        <v>3199998.87436951</v>
      </c>
      <c r="H40" s="32" t="n">
        <f aca="false">IF(A40="","",IF(Inputs!$B$35="5-4-3-2-1 step-down",MAX(0,6-ROUNDUP(A40/12,0))/100,IF(Inputs!$B$35="3-2-1 step-down",MAX(0,4-ROUNDUP(A40/12,0))/100,0)))</f>
        <v>0.03</v>
      </c>
      <c r="I40" s="31" t="n">
        <f aca="false">IF(A40="","",G40*(1+H40))</f>
        <v>3295998.84060059</v>
      </c>
    </row>
    <row r="41" customFormat="false" ht="15" hidden="false" customHeight="false" outlineLevel="0" collapsed="false">
      <c r="A41" s="33" t="n">
        <f aca="false">IF(36&gt;Sizing!$B$25,"",36)</f>
        <v>36</v>
      </c>
      <c r="B41" s="34" t="n">
        <f aca="false">IF(A41="","",EDATE(Inputs!$B$29,36-1))</f>
        <v>47423</v>
      </c>
      <c r="C41" s="35" t="n">
        <f aca="false">IF(A41="","",G40)</f>
        <v>3199998.87436951</v>
      </c>
      <c r="D41" s="35" t="n">
        <f aca="false">IF(A41="","",MIN(Sizing!$B$32,C41*(1+Sizing!$B$24/12)))</f>
        <v>22511.8172418543</v>
      </c>
      <c r="E41" s="35" t="n">
        <f aca="false">IF(A41="","",C41*Sizing!$B$24/12)</f>
        <v>19333.3265326491</v>
      </c>
      <c r="F41" s="35" t="n">
        <f aca="false">IF(A41="","",D41-E41)</f>
        <v>3178.49070920522</v>
      </c>
      <c r="G41" s="35" t="n">
        <f aca="false">IF(A41="","",MAX(0,C41-F41))</f>
        <v>3196820.3836603</v>
      </c>
      <c r="H41" s="36" t="n">
        <f aca="false">IF(A41="","",IF(Inputs!$B$35="5-4-3-2-1 step-down",MAX(0,6-ROUNDUP(A41/12,0))/100,IF(Inputs!$B$35="3-2-1 step-down",MAX(0,4-ROUNDUP(A41/12,0))/100,0)))</f>
        <v>0.03</v>
      </c>
      <c r="I41" s="35" t="n">
        <f aca="false">IF(A41="","",G41*(1+H41))</f>
        <v>3292724.99517011</v>
      </c>
    </row>
    <row r="42" customFormat="false" ht="15" hidden="false" customHeight="false" outlineLevel="0" collapsed="false">
      <c r="A42" s="29" t="n">
        <f aca="false">IF(37&gt;Sizing!$B$25,"",37)</f>
        <v>37</v>
      </c>
      <c r="B42" s="30" t="n">
        <f aca="false">IF(A42="","",EDATE(Inputs!$B$29,37-1))</f>
        <v>47453</v>
      </c>
      <c r="C42" s="31" t="n">
        <f aca="false">IF(A42="","",G41)</f>
        <v>3196820.3836603</v>
      </c>
      <c r="D42" s="31" t="n">
        <f aca="false">IF(A42="","",MIN(Sizing!$B$32,C42*(1+Sizing!$B$24/12)))</f>
        <v>22511.8172418543</v>
      </c>
      <c r="E42" s="31" t="n">
        <f aca="false">IF(A42="","",C42*Sizing!$B$24/12)</f>
        <v>19314.123151281</v>
      </c>
      <c r="F42" s="31" t="n">
        <f aca="false">IF(A42="","",D42-E42)</f>
        <v>3197.69409057334</v>
      </c>
      <c r="G42" s="31" t="n">
        <f aca="false">IF(A42="","",MAX(0,C42-F42))</f>
        <v>3193622.68956973</v>
      </c>
      <c r="H42" s="32" t="n">
        <f aca="false">IF(A42="","",IF(Inputs!$B$35="5-4-3-2-1 step-down",MAX(0,6-ROUNDUP(A42/12,0))/100,IF(Inputs!$B$35="3-2-1 step-down",MAX(0,4-ROUNDUP(A42/12,0))/100,0)))</f>
        <v>0.02</v>
      </c>
      <c r="I42" s="31" t="n">
        <f aca="false">IF(A42="","",G42*(1+H42))</f>
        <v>3257495.14336112</v>
      </c>
    </row>
    <row r="43" customFormat="false" ht="15" hidden="false" customHeight="false" outlineLevel="0" collapsed="false">
      <c r="A43" s="33" t="n">
        <f aca="false">IF(38&gt;Sizing!$B$25,"",38)</f>
        <v>38</v>
      </c>
      <c r="B43" s="34" t="n">
        <f aca="false">IF(A43="","",EDATE(Inputs!$B$29,38-1))</f>
        <v>47484</v>
      </c>
      <c r="C43" s="35" t="n">
        <f aca="false">IF(A43="","",G42)</f>
        <v>3193622.68956973</v>
      </c>
      <c r="D43" s="35" t="n">
        <f aca="false">IF(A43="","",MIN(Sizing!$B$32,C43*(1+Sizing!$B$24/12)))</f>
        <v>22511.8172418543</v>
      </c>
      <c r="E43" s="35" t="n">
        <f aca="false">IF(A43="","",C43*Sizing!$B$24/12)</f>
        <v>19294.8037494838</v>
      </c>
      <c r="F43" s="35" t="n">
        <f aca="false">IF(A43="","",D43-E43)</f>
        <v>3217.01349237055</v>
      </c>
      <c r="G43" s="35" t="n">
        <f aca="false">IF(A43="","",MAX(0,C43-F43))</f>
        <v>3190405.67607736</v>
      </c>
      <c r="H43" s="36" t="n">
        <f aca="false">IF(A43="","",IF(Inputs!$B$35="5-4-3-2-1 step-down",MAX(0,6-ROUNDUP(A43/12,0))/100,IF(Inputs!$B$35="3-2-1 step-down",MAX(0,4-ROUNDUP(A43/12,0))/100,0)))</f>
        <v>0.02</v>
      </c>
      <c r="I43" s="35" t="n">
        <f aca="false">IF(A43="","",G43*(1+H43))</f>
        <v>3254213.78959891</v>
      </c>
    </row>
    <row r="44" customFormat="false" ht="15" hidden="false" customHeight="false" outlineLevel="0" collapsed="false">
      <c r="A44" s="29" t="n">
        <f aca="false">IF(39&gt;Sizing!$B$25,"",39)</f>
        <v>39</v>
      </c>
      <c r="B44" s="30" t="n">
        <f aca="false">IF(A44="","",EDATE(Inputs!$B$29,39-1))</f>
        <v>47515</v>
      </c>
      <c r="C44" s="31" t="n">
        <f aca="false">IF(A44="","",G43)</f>
        <v>3190405.67607736</v>
      </c>
      <c r="D44" s="31" t="n">
        <f aca="false">IF(A44="","",MIN(Sizing!$B$32,C44*(1+Sizing!$B$24/12)))</f>
        <v>22511.8172418543</v>
      </c>
      <c r="E44" s="31" t="n">
        <f aca="false">IF(A44="","",C44*Sizing!$B$24/12)</f>
        <v>19275.3676263007</v>
      </c>
      <c r="F44" s="31" t="n">
        <f aca="false">IF(A44="","",D44-E44)</f>
        <v>3236.44961555362</v>
      </c>
      <c r="G44" s="31" t="n">
        <f aca="false">IF(A44="","",MAX(0,C44-F44))</f>
        <v>3187169.22646181</v>
      </c>
      <c r="H44" s="32" t="n">
        <f aca="false">IF(A44="","",IF(Inputs!$B$35="5-4-3-2-1 step-down",MAX(0,6-ROUNDUP(A44/12,0))/100,IF(Inputs!$B$35="3-2-1 step-down",MAX(0,4-ROUNDUP(A44/12,0))/100,0)))</f>
        <v>0.02</v>
      </c>
      <c r="I44" s="31" t="n">
        <f aca="false">IF(A44="","",G44*(1+H44))</f>
        <v>3250912.61099104</v>
      </c>
    </row>
    <row r="45" customFormat="false" ht="15" hidden="false" customHeight="false" outlineLevel="0" collapsed="false">
      <c r="A45" s="33" t="n">
        <f aca="false">IF(40&gt;Sizing!$B$25,"",40)</f>
        <v>40</v>
      </c>
      <c r="B45" s="34" t="n">
        <f aca="false">IF(A45="","",EDATE(Inputs!$B$29,40-1))</f>
        <v>47543</v>
      </c>
      <c r="C45" s="35" t="n">
        <f aca="false">IF(A45="","",G44)</f>
        <v>3187169.22646181</v>
      </c>
      <c r="D45" s="35" t="n">
        <f aca="false">IF(A45="","",MIN(Sizing!$B$32,C45*(1+Sizing!$B$24/12)))</f>
        <v>22511.8172418543</v>
      </c>
      <c r="E45" s="35" t="n">
        <f aca="false">IF(A45="","",C45*Sizing!$B$24/12)</f>
        <v>19255.8140765401</v>
      </c>
      <c r="F45" s="35" t="n">
        <f aca="false">IF(A45="","",D45-E45)</f>
        <v>3256.00316531426</v>
      </c>
      <c r="G45" s="35" t="n">
        <f aca="false">IF(A45="","",MAX(0,C45-F45))</f>
        <v>3183913.22329649</v>
      </c>
      <c r="H45" s="36" t="n">
        <f aca="false">IF(A45="","",IF(Inputs!$B$35="5-4-3-2-1 step-down",MAX(0,6-ROUNDUP(A45/12,0))/100,IF(Inputs!$B$35="3-2-1 step-down",MAX(0,4-ROUNDUP(A45/12,0))/100,0)))</f>
        <v>0.02</v>
      </c>
      <c r="I45" s="35" t="n">
        <f aca="false">IF(A45="","",G45*(1+H45))</f>
        <v>3247591.48776242</v>
      </c>
    </row>
    <row r="46" customFormat="false" ht="15" hidden="false" customHeight="false" outlineLevel="0" collapsed="false">
      <c r="A46" s="29" t="n">
        <f aca="false">IF(41&gt;Sizing!$B$25,"",41)</f>
        <v>41</v>
      </c>
      <c r="B46" s="30" t="n">
        <f aca="false">IF(A46="","",EDATE(Inputs!$B$29,41-1))</f>
        <v>47574</v>
      </c>
      <c r="C46" s="31" t="n">
        <f aca="false">IF(A46="","",G45)</f>
        <v>3183913.22329649</v>
      </c>
      <c r="D46" s="31" t="n">
        <f aca="false">IF(A46="","",MIN(Sizing!$B$32,C46*(1+Sizing!$B$24/12)))</f>
        <v>22511.8172418543</v>
      </c>
      <c r="E46" s="31" t="n">
        <f aca="false">IF(A46="","",C46*Sizing!$B$24/12)</f>
        <v>19236.1423907496</v>
      </c>
      <c r="F46" s="31" t="n">
        <f aca="false">IF(A46="","",D46-E46)</f>
        <v>3275.6748511047</v>
      </c>
      <c r="G46" s="31" t="n">
        <f aca="false">IF(A46="","",MAX(0,C46-F46))</f>
        <v>3180637.54844539</v>
      </c>
      <c r="H46" s="32" t="n">
        <f aca="false">IF(A46="","",IF(Inputs!$B$35="5-4-3-2-1 step-down",MAX(0,6-ROUNDUP(A46/12,0))/100,IF(Inputs!$B$35="3-2-1 step-down",MAX(0,4-ROUNDUP(A46/12,0))/100,0)))</f>
        <v>0.02</v>
      </c>
      <c r="I46" s="31" t="n">
        <f aca="false">IF(A46="","",G46*(1+H46))</f>
        <v>3244250.2994143</v>
      </c>
    </row>
    <row r="47" customFormat="false" ht="15" hidden="false" customHeight="false" outlineLevel="0" collapsed="false">
      <c r="A47" s="33" t="n">
        <f aca="false">IF(42&gt;Sizing!$B$25,"",42)</f>
        <v>42</v>
      </c>
      <c r="B47" s="34" t="n">
        <f aca="false">IF(A47="","",EDATE(Inputs!$B$29,42-1))</f>
        <v>47604</v>
      </c>
      <c r="C47" s="35" t="n">
        <f aca="false">IF(A47="","",G46)</f>
        <v>3180637.54844539</v>
      </c>
      <c r="D47" s="35" t="n">
        <f aca="false">IF(A47="","",MIN(Sizing!$B$32,C47*(1+Sizing!$B$24/12)))</f>
        <v>22511.8172418543</v>
      </c>
      <c r="E47" s="35" t="n">
        <f aca="false">IF(A47="","",C47*Sizing!$B$24/12)</f>
        <v>19216.3518551909</v>
      </c>
      <c r="F47" s="35" t="n">
        <f aca="false">IF(A47="","",D47-E47)</f>
        <v>3295.46538666345</v>
      </c>
      <c r="G47" s="35" t="n">
        <f aca="false">IF(A47="","",MAX(0,C47-F47))</f>
        <v>3177342.08305872</v>
      </c>
      <c r="H47" s="36" t="n">
        <f aca="false">IF(A47="","",IF(Inputs!$B$35="5-4-3-2-1 step-down",MAX(0,6-ROUNDUP(A47/12,0))/100,IF(Inputs!$B$35="3-2-1 step-down",MAX(0,4-ROUNDUP(A47/12,0))/100,0)))</f>
        <v>0.02</v>
      </c>
      <c r="I47" s="35" t="n">
        <f aca="false">IF(A47="","",G47*(1+H47))</f>
        <v>3240888.9247199</v>
      </c>
    </row>
    <row r="48" customFormat="false" ht="15" hidden="false" customHeight="false" outlineLevel="0" collapsed="false">
      <c r="A48" s="29" t="n">
        <f aca="false">IF(43&gt;Sizing!$B$25,"",43)</f>
        <v>43</v>
      </c>
      <c r="B48" s="30" t="n">
        <f aca="false">IF(A48="","",EDATE(Inputs!$B$29,43-1))</f>
        <v>47635</v>
      </c>
      <c r="C48" s="31" t="n">
        <f aca="false">IF(A48="","",G47)</f>
        <v>3177342.08305872</v>
      </c>
      <c r="D48" s="31" t="n">
        <f aca="false">IF(A48="","",MIN(Sizing!$B$32,C48*(1+Sizing!$B$24/12)))</f>
        <v>22511.8172418543</v>
      </c>
      <c r="E48" s="31" t="n">
        <f aca="false">IF(A48="","",C48*Sizing!$B$24/12)</f>
        <v>19196.4417518131</v>
      </c>
      <c r="F48" s="31" t="n">
        <f aca="false">IF(A48="","",D48-E48)</f>
        <v>3315.37549004121</v>
      </c>
      <c r="G48" s="31" t="n">
        <f aca="false">IF(A48="","",MAX(0,C48-F48))</f>
        <v>3174026.70756868</v>
      </c>
      <c r="H48" s="32" t="n">
        <f aca="false">IF(A48="","",IF(Inputs!$B$35="5-4-3-2-1 step-down",MAX(0,6-ROUNDUP(A48/12,0))/100,IF(Inputs!$B$35="3-2-1 step-down",MAX(0,4-ROUNDUP(A48/12,0))/100,0)))</f>
        <v>0.02</v>
      </c>
      <c r="I48" s="31" t="n">
        <f aca="false">IF(A48="","",G48*(1+H48))</f>
        <v>3237507.24172006</v>
      </c>
    </row>
    <row r="49" customFormat="false" ht="15" hidden="false" customHeight="false" outlineLevel="0" collapsed="false">
      <c r="A49" s="33" t="n">
        <f aca="false">IF(44&gt;Sizing!$B$25,"",44)</f>
        <v>44</v>
      </c>
      <c r="B49" s="34" t="n">
        <f aca="false">IF(A49="","",EDATE(Inputs!$B$29,44-1))</f>
        <v>47665</v>
      </c>
      <c r="C49" s="35" t="n">
        <f aca="false">IF(A49="","",G48)</f>
        <v>3174026.70756868</v>
      </c>
      <c r="D49" s="35" t="n">
        <f aca="false">IF(A49="","",MIN(Sizing!$B$32,C49*(1+Sizing!$B$24/12)))</f>
        <v>22511.8172418543</v>
      </c>
      <c r="E49" s="35" t="n">
        <f aca="false">IF(A49="","",C49*Sizing!$B$24/12)</f>
        <v>19176.4113582275</v>
      </c>
      <c r="F49" s="35" t="n">
        <f aca="false">IF(A49="","",D49-E49)</f>
        <v>3335.40588362688</v>
      </c>
      <c r="G49" s="35" t="n">
        <f aca="false">IF(A49="","",MAX(0,C49-F49))</f>
        <v>3170691.30168506</v>
      </c>
      <c r="H49" s="36" t="n">
        <f aca="false">IF(A49="","",IF(Inputs!$B$35="5-4-3-2-1 step-down",MAX(0,6-ROUNDUP(A49/12,0))/100,IF(Inputs!$B$35="3-2-1 step-down",MAX(0,4-ROUNDUP(A49/12,0))/100,0)))</f>
        <v>0.02</v>
      </c>
      <c r="I49" s="35" t="n">
        <f aca="false">IF(A49="","",G49*(1+H49))</f>
        <v>3234105.12771876</v>
      </c>
    </row>
    <row r="50" customFormat="false" ht="15" hidden="false" customHeight="false" outlineLevel="0" collapsed="false">
      <c r="A50" s="29" t="n">
        <f aca="false">IF(45&gt;Sizing!$B$25,"",45)</f>
        <v>45</v>
      </c>
      <c r="B50" s="30" t="n">
        <f aca="false">IF(A50="","",EDATE(Inputs!$B$29,45-1))</f>
        <v>47696</v>
      </c>
      <c r="C50" s="31" t="n">
        <f aca="false">IF(A50="","",G49)</f>
        <v>3170691.30168506</v>
      </c>
      <c r="D50" s="31" t="n">
        <f aca="false">IF(A50="","",MIN(Sizing!$B$32,C50*(1+Sizing!$B$24/12)))</f>
        <v>22511.8172418543</v>
      </c>
      <c r="E50" s="31" t="n">
        <f aca="false">IF(A50="","",C50*Sizing!$B$24/12)</f>
        <v>19156.2599476805</v>
      </c>
      <c r="F50" s="31" t="n">
        <f aca="false">IF(A50="","",D50-E50)</f>
        <v>3355.55729417379</v>
      </c>
      <c r="G50" s="31" t="n">
        <f aca="false">IF(A50="","",MAX(0,C50-F50))</f>
        <v>3167335.74439088</v>
      </c>
      <c r="H50" s="32" t="n">
        <f aca="false">IF(A50="","",IF(Inputs!$B$35="5-4-3-2-1 step-down",MAX(0,6-ROUNDUP(A50/12,0))/100,IF(Inputs!$B$35="3-2-1 step-down",MAX(0,4-ROUNDUP(A50/12,0))/100,0)))</f>
        <v>0.02</v>
      </c>
      <c r="I50" s="31" t="n">
        <f aca="false">IF(A50="","",G50*(1+H50))</f>
        <v>3230682.4592787</v>
      </c>
    </row>
    <row r="51" customFormat="false" ht="15" hidden="false" customHeight="false" outlineLevel="0" collapsed="false">
      <c r="A51" s="33" t="n">
        <f aca="false">IF(46&gt;Sizing!$B$25,"",46)</f>
        <v>46</v>
      </c>
      <c r="B51" s="34" t="n">
        <f aca="false">IF(A51="","",EDATE(Inputs!$B$29,46-1))</f>
        <v>47727</v>
      </c>
      <c r="C51" s="35" t="n">
        <f aca="false">IF(A51="","",G50)</f>
        <v>3167335.74439088</v>
      </c>
      <c r="D51" s="35" t="n">
        <f aca="false">IF(A51="","",MIN(Sizing!$B$32,C51*(1+Sizing!$B$24/12)))</f>
        <v>22511.8172418543</v>
      </c>
      <c r="E51" s="35" t="n">
        <f aca="false">IF(A51="","",C51*Sizing!$B$24/12)</f>
        <v>19135.9867890282</v>
      </c>
      <c r="F51" s="35" t="n">
        <f aca="false">IF(A51="","",D51-E51)</f>
        <v>3375.83045282609</v>
      </c>
      <c r="G51" s="35" t="n">
        <f aca="false">IF(A51="","",MAX(0,C51-F51))</f>
        <v>3163959.91393806</v>
      </c>
      <c r="H51" s="36" t="n">
        <f aca="false">IF(A51="","",IF(Inputs!$B$35="5-4-3-2-1 step-down",MAX(0,6-ROUNDUP(A51/12,0))/100,IF(Inputs!$B$35="3-2-1 step-down",MAX(0,4-ROUNDUP(A51/12,0))/100,0)))</f>
        <v>0.02</v>
      </c>
      <c r="I51" s="35" t="n">
        <f aca="false">IF(A51="","",G51*(1+H51))</f>
        <v>3227239.11221682</v>
      </c>
    </row>
    <row r="52" customFormat="false" ht="15" hidden="false" customHeight="false" outlineLevel="0" collapsed="false">
      <c r="A52" s="29" t="n">
        <f aca="false">IF(47&gt;Sizing!$B$25,"",47)</f>
        <v>47</v>
      </c>
      <c r="B52" s="30" t="n">
        <f aca="false">IF(A52="","",EDATE(Inputs!$B$29,47-1))</f>
        <v>47757</v>
      </c>
      <c r="C52" s="31" t="n">
        <f aca="false">IF(A52="","",G51)</f>
        <v>3163959.91393806</v>
      </c>
      <c r="D52" s="31" t="n">
        <f aca="false">IF(A52="","",MIN(Sizing!$B$32,C52*(1+Sizing!$B$24/12)))</f>
        <v>22511.8172418543</v>
      </c>
      <c r="E52" s="31" t="n">
        <f aca="false">IF(A52="","",C52*Sizing!$B$24/12)</f>
        <v>19115.5911467091</v>
      </c>
      <c r="F52" s="31" t="n">
        <f aca="false">IF(A52="","",D52-E52)</f>
        <v>3396.22609514525</v>
      </c>
      <c r="G52" s="31" t="n">
        <f aca="false">IF(A52="","",MAX(0,C52-F52))</f>
        <v>3160563.68784291</v>
      </c>
      <c r="H52" s="32" t="n">
        <f aca="false">IF(A52="","",IF(Inputs!$B$35="5-4-3-2-1 step-down",MAX(0,6-ROUNDUP(A52/12,0))/100,IF(Inputs!$B$35="3-2-1 step-down",MAX(0,4-ROUNDUP(A52/12,0))/100,0)))</f>
        <v>0.02</v>
      </c>
      <c r="I52" s="31" t="n">
        <f aca="false">IF(A52="","",G52*(1+H52))</f>
        <v>3223774.96159977</v>
      </c>
    </row>
    <row r="53" customFormat="false" ht="15" hidden="false" customHeight="false" outlineLevel="0" collapsed="false">
      <c r="A53" s="33" t="n">
        <f aca="false">IF(48&gt;Sizing!$B$25,"",48)</f>
        <v>48</v>
      </c>
      <c r="B53" s="34" t="n">
        <f aca="false">IF(A53="","",EDATE(Inputs!$B$29,48-1))</f>
        <v>47788</v>
      </c>
      <c r="C53" s="35" t="n">
        <f aca="false">IF(A53="","",G52)</f>
        <v>3160563.68784291</v>
      </c>
      <c r="D53" s="35" t="n">
        <f aca="false">IF(A53="","",MIN(Sizing!$B$32,C53*(1+Sizing!$B$24/12)))</f>
        <v>22511.8172418543</v>
      </c>
      <c r="E53" s="35" t="n">
        <f aca="false">IF(A53="","",C53*Sizing!$B$24/12)</f>
        <v>19095.0722807176</v>
      </c>
      <c r="F53" s="35" t="n">
        <f aca="false">IF(A53="","",D53-E53)</f>
        <v>3416.74496113675</v>
      </c>
      <c r="G53" s="35" t="n">
        <f aca="false">IF(A53="","",MAX(0,C53-F53))</f>
        <v>3157146.94288177</v>
      </c>
      <c r="H53" s="36" t="n">
        <f aca="false">IF(A53="","",IF(Inputs!$B$35="5-4-3-2-1 step-down",MAX(0,6-ROUNDUP(A53/12,0))/100,IF(Inputs!$B$35="3-2-1 step-down",MAX(0,4-ROUNDUP(A53/12,0))/100,0)))</f>
        <v>0.02</v>
      </c>
      <c r="I53" s="35" t="n">
        <f aca="false">IF(A53="","",G53*(1+H53))</f>
        <v>3220289.88173941</v>
      </c>
    </row>
    <row r="54" customFormat="false" ht="15" hidden="false" customHeight="false" outlineLevel="0" collapsed="false">
      <c r="A54" s="29" t="n">
        <f aca="false">IF(49&gt;Sizing!$B$25,"",49)</f>
        <v>49</v>
      </c>
      <c r="B54" s="30" t="n">
        <f aca="false">IF(A54="","",EDATE(Inputs!$B$29,49-1))</f>
        <v>47818</v>
      </c>
      <c r="C54" s="31" t="n">
        <f aca="false">IF(A54="","",G53)</f>
        <v>3157146.94288177</v>
      </c>
      <c r="D54" s="31" t="n">
        <f aca="false">IF(A54="","",MIN(Sizing!$B$32,C54*(1+Sizing!$B$24/12)))</f>
        <v>22511.8172418543</v>
      </c>
      <c r="E54" s="31" t="n">
        <f aca="false">IF(A54="","",C54*Sizing!$B$24/12)</f>
        <v>19074.4294465774</v>
      </c>
      <c r="F54" s="31" t="n">
        <f aca="false">IF(A54="","",D54-E54)</f>
        <v>3437.38779527695</v>
      </c>
      <c r="G54" s="31" t="n">
        <f aca="false">IF(A54="","",MAX(0,C54-F54))</f>
        <v>3153709.5550865</v>
      </c>
      <c r="H54" s="32" t="n">
        <f aca="false">IF(A54="","",IF(Inputs!$B$35="5-4-3-2-1 step-down",MAX(0,6-ROUNDUP(A54/12,0))/100,IF(Inputs!$B$35="3-2-1 step-down",MAX(0,4-ROUNDUP(A54/12,0))/100,0)))</f>
        <v>0.01</v>
      </c>
      <c r="I54" s="31" t="n">
        <f aca="false">IF(A54="","",G54*(1+H54))</f>
        <v>3185246.65063736</v>
      </c>
    </row>
    <row r="55" customFormat="false" ht="15" hidden="false" customHeight="false" outlineLevel="0" collapsed="false">
      <c r="A55" s="33" t="n">
        <f aca="false">IF(50&gt;Sizing!$B$25,"",50)</f>
        <v>50</v>
      </c>
      <c r="B55" s="34" t="n">
        <f aca="false">IF(A55="","",EDATE(Inputs!$B$29,50-1))</f>
        <v>47849</v>
      </c>
      <c r="C55" s="35" t="n">
        <f aca="false">IF(A55="","",G54)</f>
        <v>3153709.5550865</v>
      </c>
      <c r="D55" s="35" t="n">
        <f aca="false">IF(A55="","",MIN(Sizing!$B$32,C55*(1+Sizing!$B$24/12)))</f>
        <v>22511.8172418543</v>
      </c>
      <c r="E55" s="35" t="n">
        <f aca="false">IF(A55="","",C55*Sizing!$B$24/12)</f>
        <v>19053.6618953143</v>
      </c>
      <c r="F55" s="35" t="n">
        <f aca="false">IF(A55="","",D55-E55)</f>
        <v>3458.15534654008</v>
      </c>
      <c r="G55" s="35" t="n">
        <f aca="false">IF(A55="","",MAX(0,C55-F55))</f>
        <v>3150251.39973996</v>
      </c>
      <c r="H55" s="36" t="n">
        <f aca="false">IF(A55="","",IF(Inputs!$B$35="5-4-3-2-1 step-down",MAX(0,6-ROUNDUP(A55/12,0))/100,IF(Inputs!$B$35="3-2-1 step-down",MAX(0,4-ROUNDUP(A55/12,0))/100,0)))</f>
        <v>0.01</v>
      </c>
      <c r="I55" s="35" t="n">
        <f aca="false">IF(A55="","",G55*(1+H55))</f>
        <v>3181753.91373736</v>
      </c>
    </row>
    <row r="56" customFormat="false" ht="15" hidden="false" customHeight="false" outlineLevel="0" collapsed="false">
      <c r="A56" s="29" t="n">
        <f aca="false">IF(51&gt;Sizing!$B$25,"",51)</f>
        <v>51</v>
      </c>
      <c r="B56" s="30" t="n">
        <f aca="false">IF(A56="","",EDATE(Inputs!$B$29,51-1))</f>
        <v>47880</v>
      </c>
      <c r="C56" s="31" t="n">
        <f aca="false">IF(A56="","",G55)</f>
        <v>3150251.39973996</v>
      </c>
      <c r="D56" s="31" t="n">
        <f aca="false">IF(A56="","",MIN(Sizing!$B$32,C56*(1+Sizing!$B$24/12)))</f>
        <v>22511.8172418543</v>
      </c>
      <c r="E56" s="31" t="n">
        <f aca="false">IF(A56="","",C56*Sizing!$B$24/12)</f>
        <v>19032.7688734289</v>
      </c>
      <c r="F56" s="31" t="n">
        <f aca="false">IF(A56="","",D56-E56)</f>
        <v>3479.04836842543</v>
      </c>
      <c r="G56" s="31" t="n">
        <f aca="false">IF(A56="","",MAX(0,C56-F56))</f>
        <v>3146772.35137153</v>
      </c>
      <c r="H56" s="32" t="n">
        <f aca="false">IF(A56="","",IF(Inputs!$B$35="5-4-3-2-1 step-down",MAX(0,6-ROUNDUP(A56/12,0))/100,IF(Inputs!$B$35="3-2-1 step-down",MAX(0,4-ROUNDUP(A56/12,0))/100,0)))</f>
        <v>0.01</v>
      </c>
      <c r="I56" s="31" t="n">
        <f aca="false">IF(A56="","",G56*(1+H56))</f>
        <v>3178240.07488525</v>
      </c>
    </row>
    <row r="57" customFormat="false" ht="15" hidden="false" customHeight="false" outlineLevel="0" collapsed="false">
      <c r="A57" s="33" t="n">
        <f aca="false">IF(52&gt;Sizing!$B$25,"",52)</f>
        <v>52</v>
      </c>
      <c r="B57" s="34" t="n">
        <f aca="false">IF(A57="","",EDATE(Inputs!$B$29,52-1))</f>
        <v>47908</v>
      </c>
      <c r="C57" s="35" t="n">
        <f aca="false">IF(A57="","",G56)</f>
        <v>3146772.35137153</v>
      </c>
      <c r="D57" s="35" t="n">
        <f aca="false">IF(A57="","",MIN(Sizing!$B$32,C57*(1+Sizing!$B$24/12)))</f>
        <v>22511.8172418543</v>
      </c>
      <c r="E57" s="35" t="n">
        <f aca="false">IF(A57="","",C57*Sizing!$B$24/12)</f>
        <v>19011.7496228697</v>
      </c>
      <c r="F57" s="35" t="n">
        <f aca="false">IF(A57="","",D57-E57)</f>
        <v>3500.06761898467</v>
      </c>
      <c r="G57" s="35" t="n">
        <f aca="false">IF(A57="","",MAX(0,C57-F57))</f>
        <v>3143272.28375255</v>
      </c>
      <c r="H57" s="36" t="n">
        <f aca="false">IF(A57="","",IF(Inputs!$B$35="5-4-3-2-1 step-down",MAX(0,6-ROUNDUP(A57/12,0))/100,IF(Inputs!$B$35="3-2-1 step-down",MAX(0,4-ROUNDUP(A57/12,0))/100,0)))</f>
        <v>0.01</v>
      </c>
      <c r="I57" s="35" t="n">
        <f aca="false">IF(A57="","",G57*(1+H57))</f>
        <v>3174705.00659007</v>
      </c>
    </row>
    <row r="58" customFormat="false" ht="15" hidden="false" customHeight="false" outlineLevel="0" collapsed="false">
      <c r="A58" s="29" t="n">
        <f aca="false">IF(53&gt;Sizing!$B$25,"",53)</f>
        <v>53</v>
      </c>
      <c r="B58" s="30" t="n">
        <f aca="false">IF(A58="","",EDATE(Inputs!$B$29,53-1))</f>
        <v>47939</v>
      </c>
      <c r="C58" s="31" t="n">
        <f aca="false">IF(A58="","",G57)</f>
        <v>3143272.28375255</v>
      </c>
      <c r="D58" s="31" t="n">
        <f aca="false">IF(A58="","",MIN(Sizing!$B$32,C58*(1+Sizing!$B$24/12)))</f>
        <v>22511.8172418543</v>
      </c>
      <c r="E58" s="31" t="n">
        <f aca="false">IF(A58="","",C58*Sizing!$B$24/12)</f>
        <v>18990.603381005</v>
      </c>
      <c r="F58" s="31" t="n">
        <f aca="false">IF(A58="","",D58-E58)</f>
        <v>3521.21386084937</v>
      </c>
      <c r="G58" s="31" t="n">
        <f aca="false">IF(A58="","",MAX(0,C58-F58))</f>
        <v>3139751.0698917</v>
      </c>
      <c r="H58" s="32" t="n">
        <f aca="false">IF(A58="","",IF(Inputs!$B$35="5-4-3-2-1 step-down",MAX(0,6-ROUNDUP(A58/12,0))/100,IF(Inputs!$B$35="3-2-1 step-down",MAX(0,4-ROUNDUP(A58/12,0))/100,0)))</f>
        <v>0.01</v>
      </c>
      <c r="I58" s="31" t="n">
        <f aca="false">IF(A58="","",G58*(1+H58))</f>
        <v>3171148.58059061</v>
      </c>
    </row>
    <row r="59" customFormat="false" ht="15" hidden="false" customHeight="false" outlineLevel="0" collapsed="false">
      <c r="A59" s="33" t="n">
        <f aca="false">IF(54&gt;Sizing!$B$25,"",54)</f>
        <v>54</v>
      </c>
      <c r="B59" s="34" t="n">
        <f aca="false">IF(A59="","",EDATE(Inputs!$B$29,54-1))</f>
        <v>47969</v>
      </c>
      <c r="C59" s="35" t="n">
        <f aca="false">IF(A59="","",G58)</f>
        <v>3139751.0698917</v>
      </c>
      <c r="D59" s="35" t="n">
        <f aca="false">IF(A59="","",MIN(Sizing!$B$32,C59*(1+Sizing!$B$24/12)))</f>
        <v>22511.8172418543</v>
      </c>
      <c r="E59" s="35" t="n">
        <f aca="false">IF(A59="","",C59*Sizing!$B$24/12)</f>
        <v>18969.3293805957</v>
      </c>
      <c r="F59" s="35" t="n">
        <f aca="false">IF(A59="","",D59-E59)</f>
        <v>3542.48786125867</v>
      </c>
      <c r="G59" s="35" t="n">
        <f aca="false">IF(A59="","",MAX(0,C59-F59))</f>
        <v>3136208.58203044</v>
      </c>
      <c r="H59" s="36" t="n">
        <f aca="false">IF(A59="","",IF(Inputs!$B$35="5-4-3-2-1 step-down",MAX(0,6-ROUNDUP(A59/12,0))/100,IF(Inputs!$B$35="3-2-1 step-down",MAX(0,4-ROUNDUP(A59/12,0))/100,0)))</f>
        <v>0.01</v>
      </c>
      <c r="I59" s="35" t="n">
        <f aca="false">IF(A59="","",G59*(1+H59))</f>
        <v>3167570.66785074</v>
      </c>
    </row>
    <row r="60" customFormat="false" ht="15" hidden="false" customHeight="false" outlineLevel="0" collapsed="false">
      <c r="A60" s="29" t="n">
        <f aca="false">IF(55&gt;Sizing!$B$25,"",55)</f>
        <v>55</v>
      </c>
      <c r="B60" s="30" t="n">
        <f aca="false">IF(A60="","",EDATE(Inputs!$B$29,55-1))</f>
        <v>48000</v>
      </c>
      <c r="C60" s="31" t="n">
        <f aca="false">IF(A60="","",G59)</f>
        <v>3136208.58203044</v>
      </c>
      <c r="D60" s="31" t="n">
        <f aca="false">IF(A60="","",MIN(Sizing!$B$32,C60*(1+Sizing!$B$24/12)))</f>
        <v>22511.8172418543</v>
      </c>
      <c r="E60" s="31" t="n">
        <f aca="false">IF(A60="","",C60*Sizing!$B$24/12)</f>
        <v>18947.9268497672</v>
      </c>
      <c r="F60" s="31" t="n">
        <f aca="false">IF(A60="","",D60-E60)</f>
        <v>3563.8903920871</v>
      </c>
      <c r="G60" s="31" t="n">
        <f aca="false">IF(A60="","",MAX(0,C60-F60))</f>
        <v>3132644.69163835</v>
      </c>
      <c r="H60" s="32" t="n">
        <f aca="false">IF(A60="","",IF(Inputs!$B$35="5-4-3-2-1 step-down",MAX(0,6-ROUNDUP(A60/12,0))/100,IF(Inputs!$B$35="3-2-1 step-down",MAX(0,4-ROUNDUP(A60/12,0))/100,0)))</f>
        <v>0.01</v>
      </c>
      <c r="I60" s="31" t="n">
        <f aca="false">IF(A60="","",G60*(1+H60))</f>
        <v>3163971.13855474</v>
      </c>
    </row>
    <row r="61" customFormat="false" ht="15" hidden="false" customHeight="false" outlineLevel="0" collapsed="false">
      <c r="A61" s="33" t="n">
        <f aca="false">IF(56&gt;Sizing!$B$25,"",56)</f>
        <v>56</v>
      </c>
      <c r="B61" s="34" t="n">
        <f aca="false">IF(A61="","",EDATE(Inputs!$B$29,56-1))</f>
        <v>48030</v>
      </c>
      <c r="C61" s="35" t="n">
        <f aca="false">IF(A61="","",G60)</f>
        <v>3132644.69163835</v>
      </c>
      <c r="D61" s="35" t="n">
        <f aca="false">IF(A61="","",MIN(Sizing!$B$32,C61*(1+Sizing!$B$24/12)))</f>
        <v>22511.8172418543</v>
      </c>
      <c r="E61" s="35" t="n">
        <f aca="false">IF(A61="","",C61*Sizing!$B$24/12)</f>
        <v>18926.3950119817</v>
      </c>
      <c r="F61" s="35" t="n">
        <f aca="false">IF(A61="","",D61-E61)</f>
        <v>3585.42222987263</v>
      </c>
      <c r="G61" s="35" t="n">
        <f aca="false">IF(A61="","",MAX(0,C61-F61))</f>
        <v>3129059.26940848</v>
      </c>
      <c r="H61" s="36" t="n">
        <f aca="false">IF(A61="","",IF(Inputs!$B$35="5-4-3-2-1 step-down",MAX(0,6-ROUNDUP(A61/12,0))/100,IF(Inputs!$B$35="3-2-1 step-down",MAX(0,4-ROUNDUP(A61/12,0))/100,0)))</f>
        <v>0.01</v>
      </c>
      <c r="I61" s="35" t="n">
        <f aca="false">IF(A61="","",G61*(1+H61))</f>
        <v>3160349.86210256</v>
      </c>
    </row>
    <row r="62" customFormat="false" ht="15" hidden="false" customHeight="false" outlineLevel="0" collapsed="false">
      <c r="A62" s="29" t="n">
        <f aca="false">IF(57&gt;Sizing!$B$25,"",57)</f>
        <v>57</v>
      </c>
      <c r="B62" s="30" t="n">
        <f aca="false">IF(A62="","",EDATE(Inputs!$B$29,57-1))</f>
        <v>48061</v>
      </c>
      <c r="C62" s="31" t="n">
        <f aca="false">IF(A62="","",G61)</f>
        <v>3129059.26940848</v>
      </c>
      <c r="D62" s="31" t="n">
        <f aca="false">IF(A62="","",MIN(Sizing!$B$32,C62*(1+Sizing!$B$24/12)))</f>
        <v>22511.8172418543</v>
      </c>
      <c r="E62" s="31" t="n">
        <f aca="false">IF(A62="","",C62*Sizing!$B$24/12)</f>
        <v>18904.7330860096</v>
      </c>
      <c r="F62" s="31" t="n">
        <f aca="false">IF(A62="","",D62-E62)</f>
        <v>3607.08415584478</v>
      </c>
      <c r="G62" s="31" t="n">
        <f aca="false">IF(A62="","",MAX(0,C62-F62))</f>
        <v>3125452.18525263</v>
      </c>
      <c r="H62" s="32" t="n">
        <f aca="false">IF(A62="","",IF(Inputs!$B$35="5-4-3-2-1 step-down",MAX(0,6-ROUNDUP(A62/12,0))/100,IF(Inputs!$B$35="3-2-1 step-down",MAX(0,4-ROUNDUP(A62/12,0))/100,0)))</f>
        <v>0.01</v>
      </c>
      <c r="I62" s="31" t="n">
        <f aca="false">IF(A62="","",G62*(1+H62))</f>
        <v>3156706.70710516</v>
      </c>
    </row>
    <row r="63" customFormat="false" ht="15" hidden="false" customHeight="false" outlineLevel="0" collapsed="false">
      <c r="A63" s="33" t="n">
        <f aca="false">IF(58&gt;Sizing!$B$25,"",58)</f>
        <v>58</v>
      </c>
      <c r="B63" s="34" t="n">
        <f aca="false">IF(A63="","",EDATE(Inputs!$B$29,58-1))</f>
        <v>48092</v>
      </c>
      <c r="C63" s="35" t="n">
        <f aca="false">IF(A63="","",G62)</f>
        <v>3125452.18525263</v>
      </c>
      <c r="D63" s="35" t="n">
        <f aca="false">IF(A63="","",MIN(Sizing!$B$32,C63*(1+Sizing!$B$24/12)))</f>
        <v>22511.8172418543</v>
      </c>
      <c r="E63" s="35" t="n">
        <f aca="false">IF(A63="","",C63*Sizing!$B$24/12)</f>
        <v>18882.9402859013</v>
      </c>
      <c r="F63" s="35" t="n">
        <f aca="false">IF(A63="","",D63-E63)</f>
        <v>3628.876955953</v>
      </c>
      <c r="G63" s="35" t="n">
        <f aca="false">IF(A63="","",MAX(0,C63-F63))</f>
        <v>3121823.30829668</v>
      </c>
      <c r="H63" s="36" t="n">
        <f aca="false">IF(A63="","",IF(Inputs!$B$35="5-4-3-2-1 step-down",MAX(0,6-ROUNDUP(A63/12,0))/100,IF(Inputs!$B$35="3-2-1 step-down",MAX(0,4-ROUNDUP(A63/12,0))/100,0)))</f>
        <v>0.01</v>
      </c>
      <c r="I63" s="35" t="n">
        <f aca="false">IF(A63="","",G63*(1+H63))</f>
        <v>3153041.54137965</v>
      </c>
    </row>
    <row r="64" customFormat="false" ht="15" hidden="false" customHeight="false" outlineLevel="0" collapsed="false">
      <c r="A64" s="29" t="n">
        <f aca="false">IF(59&gt;Sizing!$B$25,"",59)</f>
        <v>59</v>
      </c>
      <c r="B64" s="30" t="n">
        <f aca="false">IF(A64="","",EDATE(Inputs!$B$29,59-1))</f>
        <v>48122</v>
      </c>
      <c r="C64" s="31" t="n">
        <f aca="false">IF(A64="","",G63)</f>
        <v>3121823.30829668</v>
      </c>
      <c r="D64" s="31" t="n">
        <f aca="false">IF(A64="","",MIN(Sizing!$B$32,C64*(1+Sizing!$B$24/12)))</f>
        <v>22511.8172418543</v>
      </c>
      <c r="E64" s="31" t="n">
        <f aca="false">IF(A64="","",C64*Sizing!$B$24/12)</f>
        <v>18861.0158209591</v>
      </c>
      <c r="F64" s="31" t="n">
        <f aca="false">IF(A64="","",D64-E64)</f>
        <v>3650.80142089522</v>
      </c>
      <c r="G64" s="31" t="n">
        <f aca="false">IF(A64="","",MAX(0,C64-F64))</f>
        <v>3118172.50687579</v>
      </c>
      <c r="H64" s="32" t="n">
        <f aca="false">IF(A64="","",IF(Inputs!$B$35="5-4-3-2-1 step-down",MAX(0,6-ROUNDUP(A64/12,0))/100,IF(Inputs!$B$35="3-2-1 step-down",MAX(0,4-ROUNDUP(A64/12,0))/100,0)))</f>
        <v>0.01</v>
      </c>
      <c r="I64" s="31" t="n">
        <f aca="false">IF(A64="","",G64*(1+H64))</f>
        <v>3149354.23194454</v>
      </c>
    </row>
    <row r="65" customFormat="false" ht="15" hidden="false" customHeight="false" outlineLevel="0" collapsed="false">
      <c r="A65" s="33" t="n">
        <f aca="false">IF(60&gt;Sizing!$B$25,"",60)</f>
        <v>60</v>
      </c>
      <c r="B65" s="34" t="n">
        <f aca="false">IF(A65="","",EDATE(Inputs!$B$29,60-1))</f>
        <v>48153</v>
      </c>
      <c r="C65" s="35" t="n">
        <f aca="false">IF(A65="","",G64)</f>
        <v>3118172.50687579</v>
      </c>
      <c r="D65" s="35" t="n">
        <f aca="false">IF(A65="","",MIN(Sizing!$B$32,C65*(1+Sizing!$B$24/12)))</f>
        <v>22511.8172418543</v>
      </c>
      <c r="E65" s="35" t="n">
        <f aca="false">IF(A65="","",C65*Sizing!$B$24/12)</f>
        <v>18838.9588957079</v>
      </c>
      <c r="F65" s="35" t="n">
        <f aca="false">IF(A65="","",D65-E65)</f>
        <v>3672.85834614646</v>
      </c>
      <c r="G65" s="35" t="n">
        <f aca="false">IF(A65="","",MAX(0,C65-F65))</f>
        <v>3114499.64852964</v>
      </c>
      <c r="H65" s="36" t="n">
        <f aca="false">IF(A65="","",IF(Inputs!$B$35="5-4-3-2-1 step-down",MAX(0,6-ROUNDUP(A65/12,0))/100,IF(Inputs!$B$35="3-2-1 step-down",MAX(0,4-ROUNDUP(A65/12,0))/100,0)))</f>
        <v>0.01</v>
      </c>
      <c r="I65" s="35" t="n">
        <f aca="false">IF(A65="","",G65*(1+H65))</f>
        <v>3145644.64501494</v>
      </c>
    </row>
    <row r="66" customFormat="false" ht="15" hidden="false" customHeight="false" outlineLevel="0" collapsed="false">
      <c r="A66" s="29" t="n">
        <f aca="false">IF(61&gt;Sizing!$B$25,"",61)</f>
        <v>61</v>
      </c>
      <c r="B66" s="30" t="n">
        <f aca="false">IF(A66="","",EDATE(Inputs!$B$29,61-1))</f>
        <v>48183</v>
      </c>
      <c r="C66" s="31" t="n">
        <f aca="false">IF(A66="","",G65)</f>
        <v>3114499.64852964</v>
      </c>
      <c r="D66" s="31" t="n">
        <f aca="false">IF(A66="","",MIN(Sizing!$B$32,C66*(1+Sizing!$B$24/12)))</f>
        <v>22511.8172418543</v>
      </c>
      <c r="E66" s="31" t="n">
        <f aca="false">IF(A66="","",C66*Sizing!$B$24/12)</f>
        <v>18816.7687098666</v>
      </c>
      <c r="F66" s="31" t="n">
        <f aca="false">IF(A66="","",D66-E66)</f>
        <v>3695.04853198777</v>
      </c>
      <c r="G66" s="31" t="n">
        <f aca="false">IF(A66="","",MAX(0,C66-F66))</f>
        <v>3110804.59999765</v>
      </c>
      <c r="H66" s="32" t="n">
        <f aca="false">IF(A66="","",IF(Inputs!$B$35="5-4-3-2-1 step-down",MAX(0,6-ROUNDUP(A66/12,0))/100,IF(Inputs!$B$35="3-2-1 step-down",MAX(0,4-ROUNDUP(A66/12,0))/100,0)))</f>
        <v>0</v>
      </c>
      <c r="I66" s="31" t="n">
        <f aca="false">IF(A66="","",G66*(1+H66))</f>
        <v>3110804.59999765</v>
      </c>
    </row>
    <row r="67" customFormat="false" ht="15" hidden="false" customHeight="false" outlineLevel="0" collapsed="false">
      <c r="A67" s="33" t="n">
        <f aca="false">IF(62&gt;Sizing!$B$25,"",62)</f>
        <v>62</v>
      </c>
      <c r="B67" s="34" t="n">
        <f aca="false">IF(A67="","",EDATE(Inputs!$B$29,62-1))</f>
        <v>48214</v>
      </c>
      <c r="C67" s="35" t="n">
        <f aca="false">IF(A67="","",G66)</f>
        <v>3110804.59999765</v>
      </c>
      <c r="D67" s="35" t="n">
        <f aca="false">IF(A67="","",MIN(Sizing!$B$32,C67*(1+Sizing!$B$24/12)))</f>
        <v>22511.8172418543</v>
      </c>
      <c r="E67" s="35" t="n">
        <f aca="false">IF(A67="","",C67*Sizing!$B$24/12)</f>
        <v>18794.4444583191</v>
      </c>
      <c r="F67" s="35" t="n">
        <f aca="false">IF(A67="","",D67-E67)</f>
        <v>3717.37278353519</v>
      </c>
      <c r="G67" s="35" t="n">
        <f aca="false">IF(A67="","",MAX(0,C67-F67))</f>
        <v>3107087.22721412</v>
      </c>
      <c r="H67" s="36" t="n">
        <f aca="false">IF(A67="","",IF(Inputs!$B$35="5-4-3-2-1 step-down",MAX(0,6-ROUNDUP(A67/12,0))/100,IF(Inputs!$B$35="3-2-1 step-down",MAX(0,4-ROUNDUP(A67/12,0))/100,0)))</f>
        <v>0</v>
      </c>
      <c r="I67" s="35" t="n">
        <f aca="false">IF(A67="","",G67*(1+H67))</f>
        <v>3107087.22721412</v>
      </c>
    </row>
    <row r="68" customFormat="false" ht="15" hidden="false" customHeight="false" outlineLevel="0" collapsed="false">
      <c r="A68" s="29" t="n">
        <f aca="false">IF(63&gt;Sizing!$B$25,"",63)</f>
        <v>63</v>
      </c>
      <c r="B68" s="30" t="n">
        <f aca="false">IF(A68="","",EDATE(Inputs!$B$29,63-1))</f>
        <v>48245</v>
      </c>
      <c r="C68" s="31" t="n">
        <f aca="false">IF(A68="","",G67)</f>
        <v>3107087.22721412</v>
      </c>
      <c r="D68" s="31" t="n">
        <f aca="false">IF(A68="","",MIN(Sizing!$B$32,C68*(1+Sizing!$B$24/12)))</f>
        <v>22511.8172418543</v>
      </c>
      <c r="E68" s="31" t="n">
        <f aca="false">IF(A68="","",C68*Sizing!$B$24/12)</f>
        <v>18771.9853310853</v>
      </c>
      <c r="F68" s="31" t="n">
        <f aca="false">IF(A68="","",D68-E68)</f>
        <v>3739.83191076905</v>
      </c>
      <c r="G68" s="31" t="n">
        <f aca="false">IF(A68="","",MAX(0,C68-F68))</f>
        <v>3103347.39530335</v>
      </c>
      <c r="H68" s="32" t="n">
        <f aca="false">IF(A68="","",IF(Inputs!$B$35="5-4-3-2-1 step-down",MAX(0,6-ROUNDUP(A68/12,0))/100,IF(Inputs!$B$35="3-2-1 step-down",MAX(0,4-ROUNDUP(A68/12,0))/100,0)))</f>
        <v>0</v>
      </c>
      <c r="I68" s="31" t="n">
        <f aca="false">IF(A68="","",G68*(1+H68))</f>
        <v>3103347.39530335</v>
      </c>
    </row>
    <row r="69" customFormat="false" ht="15" hidden="false" customHeight="false" outlineLevel="0" collapsed="false">
      <c r="A69" s="33" t="n">
        <f aca="false">IF(64&gt;Sizing!$B$25,"",64)</f>
        <v>64</v>
      </c>
      <c r="B69" s="34" t="n">
        <f aca="false">IF(A69="","",EDATE(Inputs!$B$29,64-1))</f>
        <v>48274</v>
      </c>
      <c r="C69" s="35" t="n">
        <f aca="false">IF(A69="","",G68)</f>
        <v>3103347.39530335</v>
      </c>
      <c r="D69" s="35" t="n">
        <f aca="false">IF(A69="","",MIN(Sizing!$B$32,C69*(1+Sizing!$B$24/12)))</f>
        <v>22511.8172418543</v>
      </c>
      <c r="E69" s="35" t="n">
        <f aca="false">IF(A69="","",C69*Sizing!$B$24/12)</f>
        <v>18749.3905132911</v>
      </c>
      <c r="F69" s="35" t="n">
        <f aca="false">IF(A69="","",D69-E69)</f>
        <v>3762.42672856328</v>
      </c>
      <c r="G69" s="35" t="n">
        <f aca="false">IF(A69="","",MAX(0,C69-F69))</f>
        <v>3099584.96857478</v>
      </c>
      <c r="H69" s="36" t="n">
        <f aca="false">IF(A69="","",IF(Inputs!$B$35="5-4-3-2-1 step-down",MAX(0,6-ROUNDUP(A69/12,0))/100,IF(Inputs!$B$35="3-2-1 step-down",MAX(0,4-ROUNDUP(A69/12,0))/100,0)))</f>
        <v>0</v>
      </c>
      <c r="I69" s="35" t="n">
        <f aca="false">IF(A69="","",G69*(1+H69))</f>
        <v>3099584.96857478</v>
      </c>
    </row>
    <row r="70" customFormat="false" ht="15" hidden="false" customHeight="false" outlineLevel="0" collapsed="false">
      <c r="A70" s="29" t="n">
        <f aca="false">IF(65&gt;Sizing!$B$25,"",65)</f>
        <v>65</v>
      </c>
      <c r="B70" s="30" t="n">
        <f aca="false">IF(A70="","",EDATE(Inputs!$B$29,65-1))</f>
        <v>48305</v>
      </c>
      <c r="C70" s="31" t="n">
        <f aca="false">IF(A70="","",G69)</f>
        <v>3099584.96857478</v>
      </c>
      <c r="D70" s="31" t="n">
        <f aca="false">IF(A70="","",MIN(Sizing!$B$32,C70*(1+Sizing!$B$24/12)))</f>
        <v>22511.8172418543</v>
      </c>
      <c r="E70" s="31" t="n">
        <f aca="false">IF(A70="","",C70*Sizing!$B$24/12)</f>
        <v>18726.6591851393</v>
      </c>
      <c r="F70" s="31" t="n">
        <f aca="false">IF(A70="","",D70-E70)</f>
        <v>3785.15805671502</v>
      </c>
      <c r="G70" s="31" t="n">
        <f aca="false">IF(A70="","",MAX(0,C70-F70))</f>
        <v>3095799.81051807</v>
      </c>
      <c r="H70" s="32" t="n">
        <f aca="false">IF(A70="","",IF(Inputs!$B$35="5-4-3-2-1 step-down",MAX(0,6-ROUNDUP(A70/12,0))/100,IF(Inputs!$B$35="3-2-1 step-down",MAX(0,4-ROUNDUP(A70/12,0))/100,0)))</f>
        <v>0</v>
      </c>
      <c r="I70" s="31" t="n">
        <f aca="false">IF(A70="","",G70*(1+H70))</f>
        <v>3095799.81051807</v>
      </c>
    </row>
    <row r="71" customFormat="false" ht="15" hidden="false" customHeight="false" outlineLevel="0" collapsed="false">
      <c r="A71" s="33" t="n">
        <f aca="false">IF(66&gt;Sizing!$B$25,"",66)</f>
        <v>66</v>
      </c>
      <c r="B71" s="34" t="n">
        <f aca="false">IF(A71="","",EDATE(Inputs!$B$29,66-1))</f>
        <v>48335</v>
      </c>
      <c r="C71" s="35" t="n">
        <f aca="false">IF(A71="","",G70)</f>
        <v>3095799.81051807</v>
      </c>
      <c r="D71" s="35" t="n">
        <f aca="false">IF(A71="","",MIN(Sizing!$B$32,C71*(1+Sizing!$B$24/12)))</f>
        <v>22511.8172418543</v>
      </c>
      <c r="E71" s="35" t="n">
        <f aca="false">IF(A71="","",C71*Sizing!$B$24/12)</f>
        <v>18703.79052188</v>
      </c>
      <c r="F71" s="35" t="n">
        <f aca="false">IF(A71="","",D71-E71)</f>
        <v>3808.02671997434</v>
      </c>
      <c r="G71" s="35" t="n">
        <f aca="false">IF(A71="","",MAX(0,C71-F71))</f>
        <v>3091991.78379809</v>
      </c>
      <c r="H71" s="36" t="n">
        <f aca="false">IF(A71="","",IF(Inputs!$B$35="5-4-3-2-1 step-down",MAX(0,6-ROUNDUP(A71/12,0))/100,IF(Inputs!$B$35="3-2-1 step-down",MAX(0,4-ROUNDUP(A71/12,0))/100,0)))</f>
        <v>0</v>
      </c>
      <c r="I71" s="35" t="n">
        <f aca="false">IF(A71="","",G71*(1+H71))</f>
        <v>3091991.78379809</v>
      </c>
    </row>
    <row r="72" customFormat="false" ht="15" hidden="false" customHeight="false" outlineLevel="0" collapsed="false">
      <c r="A72" s="29" t="n">
        <f aca="false">IF(67&gt;Sizing!$B$25,"",67)</f>
        <v>67</v>
      </c>
      <c r="B72" s="30" t="n">
        <f aca="false">IF(A72="","",EDATE(Inputs!$B$29,67-1))</f>
        <v>48366</v>
      </c>
      <c r="C72" s="31" t="n">
        <f aca="false">IF(A72="","",G71)</f>
        <v>3091991.78379809</v>
      </c>
      <c r="D72" s="31" t="n">
        <f aca="false">IF(A72="","",MIN(Sizing!$B$32,C72*(1+Sizing!$B$24/12)))</f>
        <v>22511.8172418543</v>
      </c>
      <c r="E72" s="31" t="n">
        <f aca="false">IF(A72="","",C72*Sizing!$B$24/12)</f>
        <v>18680.7836937802</v>
      </c>
      <c r="F72" s="31" t="n">
        <f aca="false">IF(A72="","",D72-E72)</f>
        <v>3831.03354807418</v>
      </c>
      <c r="G72" s="31" t="n">
        <f aca="false">IF(A72="","",MAX(0,C72-F72))</f>
        <v>3088160.75025002</v>
      </c>
      <c r="H72" s="32" t="n">
        <f aca="false">IF(A72="","",IF(Inputs!$B$35="5-4-3-2-1 step-down",MAX(0,6-ROUNDUP(A72/12,0))/100,IF(Inputs!$B$35="3-2-1 step-down",MAX(0,4-ROUNDUP(A72/12,0))/100,0)))</f>
        <v>0</v>
      </c>
      <c r="I72" s="31" t="n">
        <f aca="false">IF(A72="","",G72*(1+H72))</f>
        <v>3088160.75025002</v>
      </c>
    </row>
    <row r="73" customFormat="false" ht="15" hidden="false" customHeight="false" outlineLevel="0" collapsed="false">
      <c r="A73" s="33" t="n">
        <f aca="false">IF(68&gt;Sizing!$B$25,"",68)</f>
        <v>68</v>
      </c>
      <c r="B73" s="34" t="n">
        <f aca="false">IF(A73="","",EDATE(Inputs!$B$29,68-1))</f>
        <v>48396</v>
      </c>
      <c r="C73" s="35" t="n">
        <f aca="false">IF(A73="","",G72)</f>
        <v>3088160.75025002</v>
      </c>
      <c r="D73" s="35" t="n">
        <f aca="false">IF(A73="","",MIN(Sizing!$B$32,C73*(1+Sizing!$B$24/12)))</f>
        <v>22511.8172418543</v>
      </c>
      <c r="E73" s="35" t="n">
        <f aca="false">IF(A73="","",C73*Sizing!$B$24/12)</f>
        <v>18657.6378660939</v>
      </c>
      <c r="F73" s="35" t="n">
        <f aca="false">IF(A73="","",D73-E73)</f>
        <v>3854.17937576046</v>
      </c>
      <c r="G73" s="35" t="n">
        <f aca="false">IF(A73="","",MAX(0,C73-F73))</f>
        <v>3084306.57087426</v>
      </c>
      <c r="H73" s="36" t="n">
        <f aca="false">IF(A73="","",IF(Inputs!$B$35="5-4-3-2-1 step-down",MAX(0,6-ROUNDUP(A73/12,0))/100,IF(Inputs!$B$35="3-2-1 step-down",MAX(0,4-ROUNDUP(A73/12,0))/100,0)))</f>
        <v>0</v>
      </c>
      <c r="I73" s="35" t="n">
        <f aca="false">IF(A73="","",G73*(1+H73))</f>
        <v>3084306.57087426</v>
      </c>
    </row>
    <row r="74" customFormat="false" ht="15" hidden="false" customHeight="false" outlineLevel="0" collapsed="false">
      <c r="A74" s="29" t="n">
        <f aca="false">IF(69&gt;Sizing!$B$25,"",69)</f>
        <v>69</v>
      </c>
      <c r="B74" s="30" t="n">
        <f aca="false">IF(A74="","",EDATE(Inputs!$B$29,69-1))</f>
        <v>48427</v>
      </c>
      <c r="C74" s="31" t="n">
        <f aca="false">IF(A74="","",G73)</f>
        <v>3084306.57087426</v>
      </c>
      <c r="D74" s="31" t="n">
        <f aca="false">IF(A74="","",MIN(Sizing!$B$32,C74*(1+Sizing!$B$24/12)))</f>
        <v>22511.8172418543</v>
      </c>
      <c r="E74" s="31" t="n">
        <f aca="false">IF(A74="","",C74*Sizing!$B$24/12)</f>
        <v>18634.352199032</v>
      </c>
      <c r="F74" s="31" t="n">
        <f aca="false">IF(A74="","",D74-E74)</f>
        <v>3877.46504282235</v>
      </c>
      <c r="G74" s="31" t="n">
        <f aca="false">IF(A74="","",MAX(0,C74-F74))</f>
        <v>3080429.10583144</v>
      </c>
      <c r="H74" s="32" t="n">
        <f aca="false">IF(A74="","",IF(Inputs!$B$35="5-4-3-2-1 step-down",MAX(0,6-ROUNDUP(A74/12,0))/100,IF(Inputs!$B$35="3-2-1 step-down",MAX(0,4-ROUNDUP(A74/12,0))/100,0)))</f>
        <v>0</v>
      </c>
      <c r="I74" s="31" t="n">
        <f aca="false">IF(A74="","",G74*(1+H74))</f>
        <v>3080429.10583144</v>
      </c>
    </row>
    <row r="75" customFormat="false" ht="15" hidden="false" customHeight="false" outlineLevel="0" collapsed="false">
      <c r="A75" s="33" t="n">
        <f aca="false">IF(70&gt;Sizing!$B$25,"",70)</f>
        <v>70</v>
      </c>
      <c r="B75" s="34" t="n">
        <f aca="false">IF(A75="","",EDATE(Inputs!$B$29,70-1))</f>
        <v>48458</v>
      </c>
      <c r="C75" s="35" t="n">
        <f aca="false">IF(A75="","",G74)</f>
        <v>3080429.10583144</v>
      </c>
      <c r="D75" s="35" t="n">
        <f aca="false">IF(A75="","",MIN(Sizing!$B$32,C75*(1+Sizing!$B$24/12)))</f>
        <v>22511.8172418543</v>
      </c>
      <c r="E75" s="35" t="n">
        <f aca="false">IF(A75="","",C75*Sizing!$B$24/12)</f>
        <v>18610.9258477316</v>
      </c>
      <c r="F75" s="35" t="n">
        <f aca="false">IF(A75="","",D75-E75)</f>
        <v>3900.89139412273</v>
      </c>
      <c r="G75" s="35" t="n">
        <f aca="false">IF(A75="","",MAX(0,C75-F75))</f>
        <v>3076528.21443732</v>
      </c>
      <c r="H75" s="36" t="n">
        <f aca="false">IF(A75="","",IF(Inputs!$B$35="5-4-3-2-1 step-down",MAX(0,6-ROUNDUP(A75/12,0))/100,IF(Inputs!$B$35="3-2-1 step-down",MAX(0,4-ROUNDUP(A75/12,0))/100,0)))</f>
        <v>0</v>
      </c>
      <c r="I75" s="35" t="n">
        <f aca="false">IF(A75="","",G75*(1+H75))</f>
        <v>3076528.21443732</v>
      </c>
    </row>
    <row r="76" customFormat="false" ht="15" hidden="false" customHeight="false" outlineLevel="0" collapsed="false">
      <c r="A76" s="29" t="n">
        <f aca="false">IF(71&gt;Sizing!$B$25,"",71)</f>
        <v>71</v>
      </c>
      <c r="B76" s="30" t="n">
        <f aca="false">IF(A76="","",EDATE(Inputs!$B$29,71-1))</f>
        <v>48488</v>
      </c>
      <c r="C76" s="31" t="n">
        <f aca="false">IF(A76="","",G75)</f>
        <v>3076528.21443732</v>
      </c>
      <c r="D76" s="31" t="n">
        <f aca="false">IF(A76="","",MIN(Sizing!$B$32,C76*(1+Sizing!$B$24/12)))</f>
        <v>22511.8172418543</v>
      </c>
      <c r="E76" s="31" t="n">
        <f aca="false">IF(A76="","",C76*Sizing!$B$24/12)</f>
        <v>18587.3579622254</v>
      </c>
      <c r="F76" s="31" t="n">
        <f aca="false">IF(A76="","",D76-E76)</f>
        <v>3924.45927962889</v>
      </c>
      <c r="G76" s="31" t="n">
        <f aca="false">IF(A76="","",MAX(0,C76-F76))</f>
        <v>3072603.75515769</v>
      </c>
      <c r="H76" s="32" t="n">
        <f aca="false">IF(A76="","",IF(Inputs!$B$35="5-4-3-2-1 step-down",MAX(0,6-ROUNDUP(A76/12,0))/100,IF(Inputs!$B$35="3-2-1 step-down",MAX(0,4-ROUNDUP(A76/12,0))/100,0)))</f>
        <v>0</v>
      </c>
      <c r="I76" s="31" t="n">
        <f aca="false">IF(A76="","",G76*(1+H76))</f>
        <v>3072603.75515769</v>
      </c>
    </row>
    <row r="77" customFormat="false" ht="15" hidden="false" customHeight="false" outlineLevel="0" collapsed="false">
      <c r="A77" s="33" t="n">
        <f aca="false">IF(72&gt;Sizing!$B$25,"",72)</f>
        <v>72</v>
      </c>
      <c r="B77" s="34" t="n">
        <f aca="false">IF(A77="","",EDATE(Inputs!$B$29,72-1))</f>
        <v>48519</v>
      </c>
      <c r="C77" s="35" t="n">
        <f aca="false">IF(A77="","",G76)</f>
        <v>3072603.75515769</v>
      </c>
      <c r="D77" s="35" t="n">
        <f aca="false">IF(A77="","",MIN(Sizing!$B$32,C77*(1+Sizing!$B$24/12)))</f>
        <v>22511.8172418543</v>
      </c>
      <c r="E77" s="35" t="n">
        <f aca="false">IF(A77="","",C77*Sizing!$B$24/12)</f>
        <v>18563.647687411</v>
      </c>
      <c r="F77" s="35" t="n">
        <f aca="false">IF(A77="","",D77-E77)</f>
        <v>3948.16955444331</v>
      </c>
      <c r="G77" s="35" t="n">
        <f aca="false">IF(A77="","",MAX(0,C77-F77))</f>
        <v>3068655.58560324</v>
      </c>
      <c r="H77" s="36" t="n">
        <f aca="false">IF(A77="","",IF(Inputs!$B$35="5-4-3-2-1 step-down",MAX(0,6-ROUNDUP(A77/12,0))/100,IF(Inputs!$B$35="3-2-1 step-down",MAX(0,4-ROUNDUP(A77/12,0))/100,0)))</f>
        <v>0</v>
      </c>
      <c r="I77" s="35" t="n">
        <f aca="false">IF(A77="","",G77*(1+H77))</f>
        <v>3068655.58560324</v>
      </c>
    </row>
    <row r="78" customFormat="false" ht="15" hidden="false" customHeight="false" outlineLevel="0" collapsed="false">
      <c r="A78" s="29" t="n">
        <f aca="false">IF(73&gt;Sizing!$B$25,"",73)</f>
        <v>73</v>
      </c>
      <c r="B78" s="30" t="n">
        <f aca="false">IF(A78="","",EDATE(Inputs!$B$29,73-1))</f>
        <v>48549</v>
      </c>
      <c r="C78" s="31" t="n">
        <f aca="false">IF(A78="","",G77)</f>
        <v>3068655.58560324</v>
      </c>
      <c r="D78" s="31" t="n">
        <f aca="false">IF(A78="","",MIN(Sizing!$B$32,C78*(1+Sizing!$B$24/12)))</f>
        <v>22511.8172418543</v>
      </c>
      <c r="E78" s="31" t="n">
        <f aca="false">IF(A78="","",C78*Sizing!$B$24/12)</f>
        <v>18539.7941630196</v>
      </c>
      <c r="F78" s="31" t="n">
        <f aca="false">IF(A78="","",D78-E78)</f>
        <v>3972.02307883474</v>
      </c>
      <c r="G78" s="31" t="n">
        <f aca="false">IF(A78="","",MAX(0,C78-F78))</f>
        <v>3064683.56252441</v>
      </c>
      <c r="H78" s="32" t="n">
        <f aca="false">IF(A78="","",IF(Inputs!$B$35="5-4-3-2-1 step-down",MAX(0,6-ROUNDUP(A78/12,0))/100,IF(Inputs!$B$35="3-2-1 step-down",MAX(0,4-ROUNDUP(A78/12,0))/100,0)))</f>
        <v>0</v>
      </c>
      <c r="I78" s="31" t="n">
        <f aca="false">IF(A78="","",G78*(1+H78))</f>
        <v>3064683.56252441</v>
      </c>
    </row>
    <row r="79" customFormat="false" ht="15" hidden="false" customHeight="false" outlineLevel="0" collapsed="false">
      <c r="A79" s="33" t="n">
        <f aca="false">IF(74&gt;Sizing!$B$25,"",74)</f>
        <v>74</v>
      </c>
      <c r="B79" s="34" t="n">
        <f aca="false">IF(A79="","",EDATE(Inputs!$B$29,74-1))</f>
        <v>48580</v>
      </c>
      <c r="C79" s="35" t="n">
        <f aca="false">IF(A79="","",G78)</f>
        <v>3064683.56252441</v>
      </c>
      <c r="D79" s="35" t="n">
        <f aca="false">IF(A79="","",MIN(Sizing!$B$32,C79*(1+Sizing!$B$24/12)))</f>
        <v>22511.8172418543</v>
      </c>
      <c r="E79" s="35" t="n">
        <f aca="false">IF(A79="","",C79*Sizing!$B$24/12)</f>
        <v>18515.796523585</v>
      </c>
      <c r="F79" s="35" t="n">
        <f aca="false">IF(A79="","",D79-E79)</f>
        <v>3996.02071826937</v>
      </c>
      <c r="G79" s="35" t="n">
        <f aca="false">IF(A79="","",MAX(0,C79-F79))</f>
        <v>3060687.54180614</v>
      </c>
      <c r="H79" s="36" t="n">
        <f aca="false">IF(A79="","",IF(Inputs!$B$35="5-4-3-2-1 step-down",MAX(0,6-ROUNDUP(A79/12,0))/100,IF(Inputs!$B$35="3-2-1 step-down",MAX(0,4-ROUNDUP(A79/12,0))/100,0)))</f>
        <v>0</v>
      </c>
      <c r="I79" s="35" t="n">
        <f aca="false">IF(A79="","",G79*(1+H79))</f>
        <v>3060687.54180614</v>
      </c>
    </row>
    <row r="80" customFormat="false" ht="15" hidden="false" customHeight="false" outlineLevel="0" collapsed="false">
      <c r="A80" s="29" t="n">
        <f aca="false">IF(75&gt;Sizing!$B$25,"",75)</f>
        <v>75</v>
      </c>
      <c r="B80" s="30" t="n">
        <f aca="false">IF(A80="","",EDATE(Inputs!$B$29,75-1))</f>
        <v>48611</v>
      </c>
      <c r="C80" s="31" t="n">
        <f aca="false">IF(A80="","",G79)</f>
        <v>3060687.54180614</v>
      </c>
      <c r="D80" s="31" t="n">
        <f aca="false">IF(A80="","",MIN(Sizing!$B$32,C80*(1+Sizing!$B$24/12)))</f>
        <v>22511.8172418543</v>
      </c>
      <c r="E80" s="31" t="n">
        <f aca="false">IF(A80="","",C80*Sizing!$B$24/12)</f>
        <v>18491.6538984121</v>
      </c>
      <c r="F80" s="31" t="n">
        <f aca="false">IF(A80="","",D80-E80)</f>
        <v>4020.16334344225</v>
      </c>
      <c r="G80" s="31" t="n">
        <f aca="false">IF(A80="","",MAX(0,C80-F80))</f>
        <v>3056667.3784627</v>
      </c>
      <c r="H80" s="32" t="n">
        <f aca="false">IF(A80="","",IF(Inputs!$B$35="5-4-3-2-1 step-down",MAX(0,6-ROUNDUP(A80/12,0))/100,IF(Inputs!$B$35="3-2-1 step-down",MAX(0,4-ROUNDUP(A80/12,0))/100,0)))</f>
        <v>0</v>
      </c>
      <c r="I80" s="31" t="n">
        <f aca="false">IF(A80="","",G80*(1+H80))</f>
        <v>3056667.3784627</v>
      </c>
    </row>
    <row r="81" customFormat="false" ht="15" hidden="false" customHeight="false" outlineLevel="0" collapsed="false">
      <c r="A81" s="33" t="n">
        <f aca="false">IF(76&gt;Sizing!$B$25,"",76)</f>
        <v>76</v>
      </c>
      <c r="B81" s="34" t="n">
        <f aca="false">IF(A81="","",EDATE(Inputs!$B$29,76-1))</f>
        <v>48639</v>
      </c>
      <c r="C81" s="35" t="n">
        <f aca="false">IF(A81="","",G80)</f>
        <v>3056667.3784627</v>
      </c>
      <c r="D81" s="35" t="n">
        <f aca="false">IF(A81="","",MIN(Sizing!$B$32,C81*(1+Sizing!$B$24/12)))</f>
        <v>22511.8172418543</v>
      </c>
      <c r="E81" s="35" t="n">
        <f aca="false">IF(A81="","",C81*Sizing!$B$24/12)</f>
        <v>18467.3654115455</v>
      </c>
      <c r="F81" s="35" t="n">
        <f aca="false">IF(A81="","",D81-E81)</f>
        <v>4044.45183030888</v>
      </c>
      <c r="G81" s="35" t="n">
        <f aca="false">IF(A81="","",MAX(0,C81-F81))</f>
        <v>3052622.92663239</v>
      </c>
      <c r="H81" s="36" t="n">
        <f aca="false">IF(A81="","",IF(Inputs!$B$35="5-4-3-2-1 step-down",MAX(0,6-ROUNDUP(A81/12,0))/100,IF(Inputs!$B$35="3-2-1 step-down",MAX(0,4-ROUNDUP(A81/12,0))/100,0)))</f>
        <v>0</v>
      </c>
      <c r="I81" s="35" t="n">
        <f aca="false">IF(A81="","",G81*(1+H81))</f>
        <v>3052622.92663239</v>
      </c>
    </row>
    <row r="82" customFormat="false" ht="15" hidden="false" customHeight="false" outlineLevel="0" collapsed="false">
      <c r="A82" s="29" t="n">
        <f aca="false">IF(77&gt;Sizing!$B$25,"",77)</f>
        <v>77</v>
      </c>
      <c r="B82" s="30" t="n">
        <f aca="false">IF(A82="","",EDATE(Inputs!$B$29,77-1))</f>
        <v>48670</v>
      </c>
      <c r="C82" s="31" t="n">
        <f aca="false">IF(A82="","",G81)</f>
        <v>3052622.92663239</v>
      </c>
      <c r="D82" s="31" t="n">
        <f aca="false">IF(A82="","",MIN(Sizing!$B$32,C82*(1+Sizing!$B$24/12)))</f>
        <v>22511.8172418543</v>
      </c>
      <c r="E82" s="31" t="n">
        <f aca="false">IF(A82="","",C82*Sizing!$B$24/12)</f>
        <v>18442.9301817373</v>
      </c>
      <c r="F82" s="31" t="n">
        <f aca="false">IF(A82="","",D82-E82)</f>
        <v>4068.88706011699</v>
      </c>
      <c r="G82" s="31" t="n">
        <f aca="false">IF(A82="","",MAX(0,C82-F82))</f>
        <v>3048554.03957227</v>
      </c>
      <c r="H82" s="32" t="n">
        <f aca="false">IF(A82="","",IF(Inputs!$B$35="5-4-3-2-1 step-down",MAX(0,6-ROUNDUP(A82/12,0))/100,IF(Inputs!$B$35="3-2-1 step-down",MAX(0,4-ROUNDUP(A82/12,0))/100,0)))</f>
        <v>0</v>
      </c>
      <c r="I82" s="31" t="n">
        <f aca="false">IF(A82="","",G82*(1+H82))</f>
        <v>3048554.03957227</v>
      </c>
    </row>
    <row r="83" customFormat="false" ht="15" hidden="false" customHeight="false" outlineLevel="0" collapsed="false">
      <c r="A83" s="33" t="n">
        <f aca="false">IF(78&gt;Sizing!$B$25,"",78)</f>
        <v>78</v>
      </c>
      <c r="B83" s="34" t="n">
        <f aca="false">IF(A83="","",EDATE(Inputs!$B$29,78-1))</f>
        <v>48700</v>
      </c>
      <c r="C83" s="35" t="n">
        <f aca="false">IF(A83="","",G82)</f>
        <v>3048554.03957227</v>
      </c>
      <c r="D83" s="35" t="n">
        <f aca="false">IF(A83="","",MIN(Sizing!$B$32,C83*(1+Sizing!$B$24/12)))</f>
        <v>22511.8172418543</v>
      </c>
      <c r="E83" s="35" t="n">
        <f aca="false">IF(A83="","",C83*Sizing!$B$24/12)</f>
        <v>18418.3473224158</v>
      </c>
      <c r="F83" s="35" t="n">
        <f aca="false">IF(A83="","",D83-E83)</f>
        <v>4093.46991943853</v>
      </c>
      <c r="G83" s="35" t="n">
        <f aca="false">IF(A83="","",MAX(0,C83-F83))</f>
        <v>3044460.56965283</v>
      </c>
      <c r="H83" s="36" t="n">
        <f aca="false">IF(A83="","",IF(Inputs!$B$35="5-4-3-2-1 step-down",MAX(0,6-ROUNDUP(A83/12,0))/100,IF(Inputs!$B$35="3-2-1 step-down",MAX(0,4-ROUNDUP(A83/12,0))/100,0)))</f>
        <v>0</v>
      </c>
      <c r="I83" s="35" t="n">
        <f aca="false">IF(A83="","",G83*(1+H83))</f>
        <v>3044460.56965283</v>
      </c>
    </row>
    <row r="84" customFormat="false" ht="15" hidden="false" customHeight="false" outlineLevel="0" collapsed="false">
      <c r="A84" s="29" t="n">
        <f aca="false">IF(79&gt;Sizing!$B$25,"",79)</f>
        <v>79</v>
      </c>
      <c r="B84" s="30" t="n">
        <f aca="false">IF(A84="","",EDATE(Inputs!$B$29,79-1))</f>
        <v>48731</v>
      </c>
      <c r="C84" s="31" t="n">
        <f aca="false">IF(A84="","",G83)</f>
        <v>3044460.56965283</v>
      </c>
      <c r="D84" s="31" t="n">
        <f aca="false">IF(A84="","",MIN(Sizing!$B$32,C84*(1+Sizing!$B$24/12)))</f>
        <v>22511.8172418543</v>
      </c>
      <c r="E84" s="31" t="n">
        <f aca="false">IF(A84="","",C84*Sizing!$B$24/12)</f>
        <v>18393.6159416525</v>
      </c>
      <c r="F84" s="31" t="n">
        <f aca="false">IF(A84="","",D84-E84)</f>
        <v>4118.20130020181</v>
      </c>
      <c r="G84" s="31" t="n">
        <f aca="false">IF(A84="","",MAX(0,C84-F84))</f>
        <v>3040342.36835263</v>
      </c>
      <c r="H84" s="32" t="n">
        <f aca="false">IF(A84="","",IF(Inputs!$B$35="5-4-3-2-1 step-down",MAX(0,6-ROUNDUP(A84/12,0))/100,IF(Inputs!$B$35="3-2-1 step-down",MAX(0,4-ROUNDUP(A84/12,0))/100,0)))</f>
        <v>0</v>
      </c>
      <c r="I84" s="31" t="n">
        <f aca="false">IF(A84="","",G84*(1+H84))</f>
        <v>3040342.36835263</v>
      </c>
    </row>
    <row r="85" customFormat="false" ht="15" hidden="false" customHeight="false" outlineLevel="0" collapsed="false">
      <c r="A85" s="33" t="n">
        <f aca="false">IF(80&gt;Sizing!$B$25,"",80)</f>
        <v>80</v>
      </c>
      <c r="B85" s="34" t="n">
        <f aca="false">IF(A85="","",EDATE(Inputs!$B$29,80-1))</f>
        <v>48761</v>
      </c>
      <c r="C85" s="35" t="n">
        <f aca="false">IF(A85="","",G84)</f>
        <v>3040342.36835263</v>
      </c>
      <c r="D85" s="35" t="n">
        <f aca="false">IF(A85="","",MIN(Sizing!$B$32,C85*(1+Sizing!$B$24/12)))</f>
        <v>22511.8172418543</v>
      </c>
      <c r="E85" s="35" t="n">
        <f aca="false">IF(A85="","",C85*Sizing!$B$24/12)</f>
        <v>18368.7351421305</v>
      </c>
      <c r="F85" s="35" t="n">
        <f aca="false">IF(A85="","",D85-E85)</f>
        <v>4143.08209972386</v>
      </c>
      <c r="G85" s="35" t="n">
        <f aca="false">IF(A85="","",MAX(0,C85-F85))</f>
        <v>3036199.28625291</v>
      </c>
      <c r="H85" s="36" t="n">
        <f aca="false">IF(A85="","",IF(Inputs!$B$35="5-4-3-2-1 step-down",MAX(0,6-ROUNDUP(A85/12,0))/100,IF(Inputs!$B$35="3-2-1 step-down",MAX(0,4-ROUNDUP(A85/12,0))/100,0)))</f>
        <v>0</v>
      </c>
      <c r="I85" s="35" t="n">
        <f aca="false">IF(A85="","",G85*(1+H85))</f>
        <v>3036199.28625291</v>
      </c>
    </row>
    <row r="86" customFormat="false" ht="15" hidden="false" customHeight="false" outlineLevel="0" collapsed="false">
      <c r="A86" s="29" t="n">
        <f aca="false">IF(81&gt;Sizing!$B$25,"",81)</f>
        <v>81</v>
      </c>
      <c r="B86" s="30" t="n">
        <f aca="false">IF(A86="","",EDATE(Inputs!$B$29,81-1))</f>
        <v>48792</v>
      </c>
      <c r="C86" s="31" t="n">
        <f aca="false">IF(A86="","",G85)</f>
        <v>3036199.28625291</v>
      </c>
      <c r="D86" s="31" t="n">
        <f aca="false">IF(A86="","",MIN(Sizing!$B$32,C86*(1+Sizing!$B$24/12)))</f>
        <v>22511.8172418543</v>
      </c>
      <c r="E86" s="31" t="n">
        <f aca="false">IF(A86="","",C86*Sizing!$B$24/12)</f>
        <v>18343.7040211113</v>
      </c>
      <c r="F86" s="31" t="n">
        <f aca="false">IF(A86="","",D86-E86)</f>
        <v>4168.11322074302</v>
      </c>
      <c r="G86" s="31" t="n">
        <f aca="false">IF(A86="","",MAX(0,C86-F86))</f>
        <v>3032031.17303216</v>
      </c>
      <c r="H86" s="32" t="n">
        <f aca="false">IF(A86="","",IF(Inputs!$B$35="5-4-3-2-1 step-down",MAX(0,6-ROUNDUP(A86/12,0))/100,IF(Inputs!$B$35="3-2-1 step-down",MAX(0,4-ROUNDUP(A86/12,0))/100,0)))</f>
        <v>0</v>
      </c>
      <c r="I86" s="31" t="n">
        <f aca="false">IF(A86="","",G86*(1+H86))</f>
        <v>3032031.17303216</v>
      </c>
    </row>
    <row r="87" customFormat="false" ht="15" hidden="false" customHeight="false" outlineLevel="0" collapsed="false">
      <c r="A87" s="33" t="n">
        <f aca="false">IF(82&gt;Sizing!$B$25,"",82)</f>
        <v>82</v>
      </c>
      <c r="B87" s="34" t="n">
        <f aca="false">IF(A87="","",EDATE(Inputs!$B$29,82-1))</f>
        <v>48823</v>
      </c>
      <c r="C87" s="35" t="n">
        <f aca="false">IF(A87="","",G86)</f>
        <v>3032031.17303216</v>
      </c>
      <c r="D87" s="35" t="n">
        <f aca="false">IF(A87="","",MIN(Sizing!$B$32,C87*(1+Sizing!$B$24/12)))</f>
        <v>22511.8172418543</v>
      </c>
      <c r="E87" s="35" t="n">
        <f aca="false">IF(A87="","",C87*Sizing!$B$24/12)</f>
        <v>18318.5216704027</v>
      </c>
      <c r="F87" s="35" t="n">
        <f aca="false">IF(A87="","",D87-E87)</f>
        <v>4193.29557145168</v>
      </c>
      <c r="G87" s="35" t="n">
        <f aca="false">IF(A87="","",MAX(0,C87-F87))</f>
        <v>3027837.87746071</v>
      </c>
      <c r="H87" s="36" t="n">
        <f aca="false">IF(A87="","",IF(Inputs!$B$35="5-4-3-2-1 step-down",MAX(0,6-ROUNDUP(A87/12,0))/100,IF(Inputs!$B$35="3-2-1 step-down",MAX(0,4-ROUNDUP(A87/12,0))/100,0)))</f>
        <v>0</v>
      </c>
      <c r="I87" s="35" t="n">
        <f aca="false">IF(A87="","",G87*(1+H87))</f>
        <v>3027837.87746071</v>
      </c>
    </row>
    <row r="88" customFormat="false" ht="15" hidden="false" customHeight="false" outlineLevel="0" collapsed="false">
      <c r="A88" s="29" t="n">
        <f aca="false">IF(83&gt;Sizing!$B$25,"",83)</f>
        <v>83</v>
      </c>
      <c r="B88" s="30" t="n">
        <f aca="false">IF(A88="","",EDATE(Inputs!$B$29,83-1))</f>
        <v>48853</v>
      </c>
      <c r="C88" s="31" t="n">
        <f aca="false">IF(A88="","",G87)</f>
        <v>3027837.87746071</v>
      </c>
      <c r="D88" s="31" t="n">
        <f aca="false">IF(A88="","",MIN(Sizing!$B$32,C88*(1+Sizing!$B$24/12)))</f>
        <v>22511.8172418543</v>
      </c>
      <c r="E88" s="31" t="n">
        <f aca="false">IF(A88="","",C88*Sizing!$B$24/12)</f>
        <v>18293.1871763251</v>
      </c>
      <c r="F88" s="31" t="n">
        <f aca="false">IF(A88="","",D88-E88)</f>
        <v>4218.6300655292</v>
      </c>
      <c r="G88" s="31" t="n">
        <f aca="false">IF(A88="","",MAX(0,C88-F88))</f>
        <v>3023619.24739518</v>
      </c>
      <c r="H88" s="32" t="n">
        <f aca="false">IF(A88="","",IF(Inputs!$B$35="5-4-3-2-1 step-down",MAX(0,6-ROUNDUP(A88/12,0))/100,IF(Inputs!$B$35="3-2-1 step-down",MAX(0,4-ROUNDUP(A88/12,0))/100,0)))</f>
        <v>0</v>
      </c>
      <c r="I88" s="31" t="n">
        <f aca="false">IF(A88="","",G88*(1+H88))</f>
        <v>3023619.24739518</v>
      </c>
    </row>
    <row r="89" customFormat="false" ht="15" hidden="false" customHeight="false" outlineLevel="0" collapsed="false">
      <c r="A89" s="33" t="n">
        <f aca="false">IF(84&gt;Sizing!$B$25,"",84)</f>
        <v>84</v>
      </c>
      <c r="B89" s="34" t="n">
        <f aca="false">IF(A89="","",EDATE(Inputs!$B$29,84-1))</f>
        <v>48884</v>
      </c>
      <c r="C89" s="35" t="n">
        <f aca="false">IF(A89="","",G88)</f>
        <v>3023619.24739518</v>
      </c>
      <c r="D89" s="35" t="n">
        <f aca="false">IF(A89="","",MIN(Sizing!$B$32,C89*(1+Sizing!$B$24/12)))</f>
        <v>22511.8172418543</v>
      </c>
      <c r="E89" s="35" t="n">
        <f aca="false">IF(A89="","",C89*Sizing!$B$24/12)</f>
        <v>18267.6996196792</v>
      </c>
      <c r="F89" s="35" t="n">
        <f aca="false">IF(A89="","",D89-E89)</f>
        <v>4244.11762217511</v>
      </c>
      <c r="G89" s="35" t="n">
        <f aca="false">IF(A89="","",MAX(0,C89-F89))</f>
        <v>3019375.12977301</v>
      </c>
      <c r="H89" s="36" t="n">
        <f aca="false">IF(A89="","",IF(Inputs!$B$35="5-4-3-2-1 step-down",MAX(0,6-ROUNDUP(A89/12,0))/100,IF(Inputs!$B$35="3-2-1 step-down",MAX(0,4-ROUNDUP(A89/12,0))/100,0)))</f>
        <v>0</v>
      </c>
      <c r="I89" s="35" t="n">
        <f aca="false">IF(A89="","",G89*(1+H89))</f>
        <v>3019375.12977301</v>
      </c>
    </row>
    <row r="90" customFormat="false" ht="15" hidden="false" customHeight="false" outlineLevel="0" collapsed="false">
      <c r="A90" s="29" t="n">
        <f aca="false">IF(85&gt;Sizing!$B$25,"",85)</f>
        <v>85</v>
      </c>
      <c r="B90" s="30" t="n">
        <f aca="false">IF(A90="","",EDATE(Inputs!$B$29,85-1))</f>
        <v>48914</v>
      </c>
      <c r="C90" s="31" t="n">
        <f aca="false">IF(A90="","",G89)</f>
        <v>3019375.12977301</v>
      </c>
      <c r="D90" s="31" t="n">
        <f aca="false">IF(A90="","",MIN(Sizing!$B$32,C90*(1+Sizing!$B$24/12)))</f>
        <v>22511.8172418543</v>
      </c>
      <c r="E90" s="31" t="n">
        <f aca="false">IF(A90="","",C90*Sizing!$B$24/12)</f>
        <v>18242.0580757119</v>
      </c>
      <c r="F90" s="31" t="n">
        <f aca="false">IF(A90="","",D90-E90)</f>
        <v>4269.75916614241</v>
      </c>
      <c r="G90" s="31" t="n">
        <f aca="false">IF(A90="","",MAX(0,C90-F90))</f>
        <v>3015105.37060687</v>
      </c>
      <c r="H90" s="32" t="n">
        <f aca="false">IF(A90="","",IF(Inputs!$B$35="5-4-3-2-1 step-down",MAX(0,6-ROUNDUP(A90/12,0))/100,IF(Inputs!$B$35="3-2-1 step-down",MAX(0,4-ROUNDUP(A90/12,0))/100,0)))</f>
        <v>0</v>
      </c>
      <c r="I90" s="31" t="n">
        <f aca="false">IF(A90="","",G90*(1+H90))</f>
        <v>3015105.37060687</v>
      </c>
    </row>
    <row r="91" customFormat="false" ht="15" hidden="false" customHeight="false" outlineLevel="0" collapsed="false">
      <c r="A91" s="33" t="n">
        <f aca="false">IF(86&gt;Sizing!$B$25,"",86)</f>
        <v>86</v>
      </c>
      <c r="B91" s="34" t="n">
        <f aca="false">IF(A91="","",EDATE(Inputs!$B$29,86-1))</f>
        <v>48945</v>
      </c>
      <c r="C91" s="35" t="n">
        <f aca="false">IF(A91="","",G90)</f>
        <v>3015105.37060687</v>
      </c>
      <c r="D91" s="35" t="n">
        <f aca="false">IF(A91="","",MIN(Sizing!$B$32,C91*(1+Sizing!$B$24/12)))</f>
        <v>22511.8172418543</v>
      </c>
      <c r="E91" s="35" t="n">
        <f aca="false">IF(A91="","",C91*Sizing!$B$24/12)</f>
        <v>18216.2616140831</v>
      </c>
      <c r="F91" s="35" t="n">
        <f aca="false">IF(A91="","",D91-E91)</f>
        <v>4295.55562777119</v>
      </c>
      <c r="G91" s="35" t="n">
        <f aca="false">IF(A91="","",MAX(0,C91-F91))</f>
        <v>3010809.81497909</v>
      </c>
      <c r="H91" s="36" t="n">
        <f aca="false">IF(A91="","",IF(Inputs!$B$35="5-4-3-2-1 step-down",MAX(0,6-ROUNDUP(A91/12,0))/100,IF(Inputs!$B$35="3-2-1 step-down",MAX(0,4-ROUNDUP(A91/12,0))/100,0)))</f>
        <v>0</v>
      </c>
      <c r="I91" s="35" t="n">
        <f aca="false">IF(A91="","",G91*(1+H91))</f>
        <v>3010809.81497909</v>
      </c>
    </row>
    <row r="92" customFormat="false" ht="15" hidden="false" customHeight="false" outlineLevel="0" collapsed="false">
      <c r="A92" s="29" t="n">
        <f aca="false">IF(87&gt;Sizing!$B$25,"",87)</f>
        <v>87</v>
      </c>
      <c r="B92" s="30" t="n">
        <f aca="false">IF(A92="","",EDATE(Inputs!$B$29,87-1))</f>
        <v>48976</v>
      </c>
      <c r="C92" s="31" t="n">
        <f aca="false">IF(A92="","",G91)</f>
        <v>3010809.81497909</v>
      </c>
      <c r="D92" s="31" t="n">
        <f aca="false">IF(A92="","",MIN(Sizing!$B$32,C92*(1+Sizing!$B$24/12)))</f>
        <v>22511.8172418543</v>
      </c>
      <c r="E92" s="31" t="n">
        <f aca="false">IF(A92="","",C92*Sizing!$B$24/12)</f>
        <v>18190.309298832</v>
      </c>
      <c r="F92" s="31" t="n">
        <f aca="false">IF(A92="","",D92-E92)</f>
        <v>4321.50794302231</v>
      </c>
      <c r="G92" s="31" t="n">
        <f aca="false">IF(A92="","",MAX(0,C92-F92))</f>
        <v>3006488.30703607</v>
      </c>
      <c r="H92" s="32" t="n">
        <f aca="false">IF(A92="","",IF(Inputs!$B$35="5-4-3-2-1 step-down",MAX(0,6-ROUNDUP(A92/12,0))/100,IF(Inputs!$B$35="3-2-1 step-down",MAX(0,4-ROUNDUP(A92/12,0))/100,0)))</f>
        <v>0</v>
      </c>
      <c r="I92" s="31" t="n">
        <f aca="false">IF(A92="","",G92*(1+H92))</f>
        <v>3006488.30703607</v>
      </c>
    </row>
    <row r="93" customFormat="false" ht="15" hidden="false" customHeight="false" outlineLevel="0" collapsed="false">
      <c r="A93" s="33" t="n">
        <f aca="false">IF(88&gt;Sizing!$B$25,"",88)</f>
        <v>88</v>
      </c>
      <c r="B93" s="34" t="n">
        <f aca="false">IF(A93="","",EDATE(Inputs!$B$29,88-1))</f>
        <v>49004</v>
      </c>
      <c r="C93" s="35" t="n">
        <f aca="false">IF(A93="","",G92)</f>
        <v>3006488.30703607</v>
      </c>
      <c r="D93" s="35" t="n">
        <f aca="false">IF(A93="","",MIN(Sizing!$B$32,C93*(1+Sizing!$B$24/12)))</f>
        <v>22511.8172418543</v>
      </c>
      <c r="E93" s="35" t="n">
        <f aca="false">IF(A93="","",C93*Sizing!$B$24/12)</f>
        <v>18164.2001883429</v>
      </c>
      <c r="F93" s="35" t="n">
        <f aca="false">IF(A93="","",D93-E93)</f>
        <v>4347.6170535114</v>
      </c>
      <c r="G93" s="35" t="n">
        <f aca="false">IF(A93="","",MAX(0,C93-F93))</f>
        <v>3002140.68998256</v>
      </c>
      <c r="H93" s="36" t="n">
        <f aca="false">IF(A93="","",IF(Inputs!$B$35="5-4-3-2-1 step-down",MAX(0,6-ROUNDUP(A93/12,0))/100,IF(Inputs!$B$35="3-2-1 step-down",MAX(0,4-ROUNDUP(A93/12,0))/100,0)))</f>
        <v>0</v>
      </c>
      <c r="I93" s="35" t="n">
        <f aca="false">IF(A93="","",G93*(1+H93))</f>
        <v>3002140.68998256</v>
      </c>
    </row>
    <row r="94" customFormat="false" ht="15" hidden="false" customHeight="false" outlineLevel="0" collapsed="false">
      <c r="A94" s="29" t="n">
        <f aca="false">IF(89&gt;Sizing!$B$25,"",89)</f>
        <v>89</v>
      </c>
      <c r="B94" s="30" t="n">
        <f aca="false">IF(A94="","",EDATE(Inputs!$B$29,89-1))</f>
        <v>49035</v>
      </c>
      <c r="C94" s="31" t="n">
        <f aca="false">IF(A94="","",G93)</f>
        <v>3002140.68998256</v>
      </c>
      <c r="D94" s="31" t="n">
        <f aca="false">IF(A94="","",MIN(Sizing!$B$32,C94*(1+Sizing!$B$24/12)))</f>
        <v>22511.8172418543</v>
      </c>
      <c r="E94" s="31" t="n">
        <f aca="false">IF(A94="","",C94*Sizing!$B$24/12)</f>
        <v>18137.9333353113</v>
      </c>
      <c r="F94" s="31" t="n">
        <f aca="false">IF(A94="","",D94-E94)</f>
        <v>4373.88390654303</v>
      </c>
      <c r="G94" s="31" t="n">
        <f aca="false">IF(A94="","",MAX(0,C94-F94))</f>
        <v>2997766.80607602</v>
      </c>
      <c r="H94" s="32" t="n">
        <f aca="false">IF(A94="","",IF(Inputs!$B$35="5-4-3-2-1 step-down",MAX(0,6-ROUNDUP(A94/12,0))/100,IF(Inputs!$B$35="3-2-1 step-down",MAX(0,4-ROUNDUP(A94/12,0))/100,0)))</f>
        <v>0</v>
      </c>
      <c r="I94" s="31" t="n">
        <f aca="false">IF(A94="","",G94*(1+H94))</f>
        <v>2997766.80607602</v>
      </c>
    </row>
    <row r="95" customFormat="false" ht="15" hidden="false" customHeight="false" outlineLevel="0" collapsed="false">
      <c r="A95" s="33" t="n">
        <f aca="false">IF(90&gt;Sizing!$B$25,"",90)</f>
        <v>90</v>
      </c>
      <c r="B95" s="34" t="n">
        <f aca="false">IF(A95="","",EDATE(Inputs!$B$29,90-1))</f>
        <v>49065</v>
      </c>
      <c r="C95" s="35" t="n">
        <f aca="false">IF(A95="","",G94)</f>
        <v>2997766.80607602</v>
      </c>
      <c r="D95" s="35" t="n">
        <f aca="false">IF(A95="","",MIN(Sizing!$B$32,C95*(1+Sizing!$B$24/12)))</f>
        <v>22511.8172418543</v>
      </c>
      <c r="E95" s="35" t="n">
        <f aca="false">IF(A95="","",C95*Sizing!$B$24/12)</f>
        <v>18111.5077867093</v>
      </c>
      <c r="F95" s="35" t="n">
        <f aca="false">IF(A95="","",D95-E95)</f>
        <v>4400.30945514507</v>
      </c>
      <c r="G95" s="35" t="n">
        <f aca="false">IF(A95="","",MAX(0,C95-F95))</f>
        <v>2993366.49662087</v>
      </c>
      <c r="H95" s="36" t="n">
        <f aca="false">IF(A95="","",IF(Inputs!$B$35="5-4-3-2-1 step-down",MAX(0,6-ROUNDUP(A95/12,0))/100,IF(Inputs!$B$35="3-2-1 step-down",MAX(0,4-ROUNDUP(A95/12,0))/100,0)))</f>
        <v>0</v>
      </c>
      <c r="I95" s="35" t="n">
        <f aca="false">IF(A95="","",G95*(1+H95))</f>
        <v>2993366.49662087</v>
      </c>
    </row>
    <row r="96" customFormat="false" ht="15" hidden="false" customHeight="false" outlineLevel="0" collapsed="false">
      <c r="A96" s="29" t="n">
        <f aca="false">IF(91&gt;Sizing!$B$25,"",91)</f>
        <v>91</v>
      </c>
      <c r="B96" s="30" t="n">
        <f aca="false">IF(A96="","",EDATE(Inputs!$B$29,91-1))</f>
        <v>49096</v>
      </c>
      <c r="C96" s="31" t="n">
        <f aca="false">IF(A96="","",G95)</f>
        <v>2993366.49662087</v>
      </c>
      <c r="D96" s="31" t="n">
        <f aca="false">IF(A96="","",MIN(Sizing!$B$32,C96*(1+Sizing!$B$24/12)))</f>
        <v>22511.8172418543</v>
      </c>
      <c r="E96" s="31" t="n">
        <f aca="false">IF(A96="","",C96*Sizing!$B$24/12)</f>
        <v>18084.9225837511</v>
      </c>
      <c r="F96" s="31" t="n">
        <f aca="false">IF(A96="","",D96-E96)</f>
        <v>4426.89465810323</v>
      </c>
      <c r="G96" s="31" t="n">
        <f aca="false">IF(A96="","",MAX(0,C96-F96))</f>
        <v>2988939.60196277</v>
      </c>
      <c r="H96" s="32" t="n">
        <f aca="false">IF(A96="","",IF(Inputs!$B$35="5-4-3-2-1 step-down",MAX(0,6-ROUNDUP(A96/12,0))/100,IF(Inputs!$B$35="3-2-1 step-down",MAX(0,4-ROUNDUP(A96/12,0))/100,0)))</f>
        <v>0</v>
      </c>
      <c r="I96" s="31" t="n">
        <f aca="false">IF(A96="","",G96*(1+H96))</f>
        <v>2988939.60196277</v>
      </c>
    </row>
    <row r="97" customFormat="false" ht="15" hidden="false" customHeight="false" outlineLevel="0" collapsed="false">
      <c r="A97" s="33" t="n">
        <f aca="false">IF(92&gt;Sizing!$B$25,"",92)</f>
        <v>92</v>
      </c>
      <c r="B97" s="34" t="n">
        <f aca="false">IF(A97="","",EDATE(Inputs!$B$29,92-1))</f>
        <v>49126</v>
      </c>
      <c r="C97" s="35" t="n">
        <f aca="false">IF(A97="","",G96)</f>
        <v>2988939.60196277</v>
      </c>
      <c r="D97" s="35" t="n">
        <f aca="false">IF(A97="","",MIN(Sizing!$B$32,C97*(1+Sizing!$B$24/12)))</f>
        <v>22511.8172418543</v>
      </c>
      <c r="E97" s="35" t="n">
        <f aca="false">IF(A97="","",C97*Sizing!$B$24/12)</f>
        <v>18058.1767618584</v>
      </c>
      <c r="F97" s="35" t="n">
        <f aca="false">IF(A97="","",D97-E97)</f>
        <v>4453.64047999594</v>
      </c>
      <c r="G97" s="35" t="n">
        <f aca="false">IF(A97="","",MAX(0,C97-F97))</f>
        <v>2984485.96148277</v>
      </c>
      <c r="H97" s="36" t="n">
        <f aca="false">IF(A97="","",IF(Inputs!$B$35="5-4-3-2-1 step-down",MAX(0,6-ROUNDUP(A97/12,0))/100,IF(Inputs!$B$35="3-2-1 step-down",MAX(0,4-ROUNDUP(A97/12,0))/100,0)))</f>
        <v>0</v>
      </c>
      <c r="I97" s="35" t="n">
        <f aca="false">IF(A97="","",G97*(1+H97))</f>
        <v>2984485.96148277</v>
      </c>
    </row>
    <row r="98" customFormat="false" ht="15" hidden="false" customHeight="false" outlineLevel="0" collapsed="false">
      <c r="A98" s="29" t="n">
        <f aca="false">IF(93&gt;Sizing!$B$25,"",93)</f>
        <v>93</v>
      </c>
      <c r="B98" s="30" t="n">
        <f aca="false">IF(A98="","",EDATE(Inputs!$B$29,93-1))</f>
        <v>49157</v>
      </c>
      <c r="C98" s="31" t="n">
        <f aca="false">IF(A98="","",G97)</f>
        <v>2984485.96148277</v>
      </c>
      <c r="D98" s="31" t="n">
        <f aca="false">IF(A98="","",MIN(Sizing!$B$32,C98*(1+Sizing!$B$24/12)))</f>
        <v>22511.8172418543</v>
      </c>
      <c r="E98" s="31" t="n">
        <f aca="false">IF(A98="","",C98*Sizing!$B$24/12)</f>
        <v>18031.2693506251</v>
      </c>
      <c r="F98" s="31" t="n">
        <f aca="false">IF(A98="","",D98-E98)</f>
        <v>4480.54789122925</v>
      </c>
      <c r="G98" s="31" t="n">
        <f aca="false">IF(A98="","",MAX(0,C98-F98))</f>
        <v>2980005.41359154</v>
      </c>
      <c r="H98" s="32" t="n">
        <f aca="false">IF(A98="","",IF(Inputs!$B$35="5-4-3-2-1 step-down",MAX(0,6-ROUNDUP(A98/12,0))/100,IF(Inputs!$B$35="3-2-1 step-down",MAX(0,4-ROUNDUP(A98/12,0))/100,0)))</f>
        <v>0</v>
      </c>
      <c r="I98" s="31" t="n">
        <f aca="false">IF(A98="","",G98*(1+H98))</f>
        <v>2980005.41359154</v>
      </c>
    </row>
    <row r="99" customFormat="false" ht="15" hidden="false" customHeight="false" outlineLevel="0" collapsed="false">
      <c r="A99" s="33" t="n">
        <f aca="false">IF(94&gt;Sizing!$B$25,"",94)</f>
        <v>94</v>
      </c>
      <c r="B99" s="34" t="n">
        <f aca="false">IF(A99="","",EDATE(Inputs!$B$29,94-1))</f>
        <v>49188</v>
      </c>
      <c r="C99" s="35" t="n">
        <f aca="false">IF(A99="","",G98)</f>
        <v>2980005.41359154</v>
      </c>
      <c r="D99" s="35" t="n">
        <f aca="false">IF(A99="","",MIN(Sizing!$B$32,C99*(1+Sizing!$B$24/12)))</f>
        <v>22511.8172418543</v>
      </c>
      <c r="E99" s="35" t="n">
        <f aca="false">IF(A99="","",C99*Sizing!$B$24/12)</f>
        <v>18004.1993737822</v>
      </c>
      <c r="F99" s="35" t="n">
        <f aca="false">IF(A99="","",D99-E99)</f>
        <v>4507.6178680721</v>
      </c>
      <c r="G99" s="35" t="n">
        <f aca="false">IF(A99="","",MAX(0,C99-F99))</f>
        <v>2975497.79572347</v>
      </c>
      <c r="H99" s="36" t="n">
        <f aca="false">IF(A99="","",IF(Inputs!$B$35="5-4-3-2-1 step-down",MAX(0,6-ROUNDUP(A99/12,0))/100,IF(Inputs!$B$35="3-2-1 step-down",MAX(0,4-ROUNDUP(A99/12,0))/100,0)))</f>
        <v>0</v>
      </c>
      <c r="I99" s="35" t="n">
        <f aca="false">IF(A99="","",G99*(1+H99))</f>
        <v>2975497.79572347</v>
      </c>
    </row>
    <row r="100" customFormat="false" ht="15" hidden="false" customHeight="false" outlineLevel="0" collapsed="false">
      <c r="A100" s="29" t="n">
        <f aca="false">IF(95&gt;Sizing!$B$25,"",95)</f>
        <v>95</v>
      </c>
      <c r="B100" s="30" t="n">
        <f aca="false">IF(A100="","",EDATE(Inputs!$B$29,95-1))</f>
        <v>49218</v>
      </c>
      <c r="C100" s="31" t="n">
        <f aca="false">IF(A100="","",G99)</f>
        <v>2975497.79572347</v>
      </c>
      <c r="D100" s="31" t="n">
        <f aca="false">IF(A100="","",MIN(Sizing!$B$32,C100*(1+Sizing!$B$24/12)))</f>
        <v>22511.8172418543</v>
      </c>
      <c r="E100" s="31" t="n">
        <f aca="false">IF(A100="","",C100*Sizing!$B$24/12)</f>
        <v>17976.9658491626</v>
      </c>
      <c r="F100" s="31" t="n">
        <f aca="false">IF(A100="","",D100-E100)</f>
        <v>4534.8513926917</v>
      </c>
      <c r="G100" s="31" t="n">
        <f aca="false">IF(A100="","",MAX(0,C100-F100))</f>
        <v>2970962.94433078</v>
      </c>
      <c r="H100" s="32" t="n">
        <f aca="false">IF(A100="","",IF(Inputs!$B$35="5-4-3-2-1 step-down",MAX(0,6-ROUNDUP(A100/12,0))/100,IF(Inputs!$B$35="3-2-1 step-down",MAX(0,4-ROUNDUP(A100/12,0))/100,0)))</f>
        <v>0</v>
      </c>
      <c r="I100" s="31" t="n">
        <f aca="false">IF(A100="","",G100*(1+H100))</f>
        <v>2970962.94433078</v>
      </c>
    </row>
    <row r="101" customFormat="false" ht="15" hidden="false" customHeight="false" outlineLevel="0" collapsed="false">
      <c r="A101" s="33" t="n">
        <f aca="false">IF(96&gt;Sizing!$B$25,"",96)</f>
        <v>96</v>
      </c>
      <c r="B101" s="34" t="n">
        <f aca="false">IF(A101="","",EDATE(Inputs!$B$29,96-1))</f>
        <v>49249</v>
      </c>
      <c r="C101" s="35" t="n">
        <f aca="false">IF(A101="","",G100)</f>
        <v>2970962.94433078</v>
      </c>
      <c r="D101" s="35" t="n">
        <f aca="false">IF(A101="","",MIN(Sizing!$B$32,C101*(1+Sizing!$B$24/12)))</f>
        <v>22511.8172418543</v>
      </c>
      <c r="E101" s="35" t="n">
        <f aca="false">IF(A101="","",C101*Sizing!$B$24/12)</f>
        <v>17949.5677886651</v>
      </c>
      <c r="F101" s="35" t="n">
        <f aca="false">IF(A101="","",D101-E101)</f>
        <v>4562.2494531892</v>
      </c>
      <c r="G101" s="35" t="n">
        <f aca="false">IF(A101="","",MAX(0,C101-F101))</f>
        <v>2966400.69487759</v>
      </c>
      <c r="H101" s="36" t="n">
        <f aca="false">IF(A101="","",IF(Inputs!$B$35="5-4-3-2-1 step-down",MAX(0,6-ROUNDUP(A101/12,0))/100,IF(Inputs!$B$35="3-2-1 step-down",MAX(0,4-ROUNDUP(A101/12,0))/100,0)))</f>
        <v>0</v>
      </c>
      <c r="I101" s="35" t="n">
        <f aca="false">IF(A101="","",G101*(1+H101))</f>
        <v>2966400.69487759</v>
      </c>
    </row>
    <row r="102" customFormat="false" ht="15" hidden="false" customHeight="false" outlineLevel="0" collapsed="false">
      <c r="A102" s="29" t="n">
        <f aca="false">IF(97&gt;Sizing!$B$25,"",97)</f>
        <v>97</v>
      </c>
      <c r="B102" s="30" t="n">
        <f aca="false">IF(A102="","",EDATE(Inputs!$B$29,97-1))</f>
        <v>49279</v>
      </c>
      <c r="C102" s="31" t="n">
        <f aca="false">IF(A102="","",G101)</f>
        <v>2966400.69487759</v>
      </c>
      <c r="D102" s="31" t="n">
        <f aca="false">IF(A102="","",MIN(Sizing!$B$32,C102*(1+Sizing!$B$24/12)))</f>
        <v>22511.8172418543</v>
      </c>
      <c r="E102" s="31" t="n">
        <f aca="false">IF(A102="","",C102*Sizing!$B$24/12)</f>
        <v>17922.0041982188</v>
      </c>
      <c r="F102" s="31" t="n">
        <f aca="false">IF(A102="","",D102-E102)</f>
        <v>4589.81304363556</v>
      </c>
      <c r="G102" s="31" t="n">
        <f aca="false">IF(A102="","",MAX(0,C102-F102))</f>
        <v>2961810.88183396</v>
      </c>
      <c r="H102" s="32" t="n">
        <f aca="false">IF(A102="","",IF(Inputs!$B$35="5-4-3-2-1 step-down",MAX(0,6-ROUNDUP(A102/12,0))/100,IF(Inputs!$B$35="3-2-1 step-down",MAX(0,4-ROUNDUP(A102/12,0))/100,0)))</f>
        <v>0</v>
      </c>
      <c r="I102" s="31" t="n">
        <f aca="false">IF(A102="","",G102*(1+H102))</f>
        <v>2961810.88183396</v>
      </c>
    </row>
    <row r="103" customFormat="false" ht="15" hidden="false" customHeight="false" outlineLevel="0" collapsed="false">
      <c r="A103" s="33" t="n">
        <f aca="false">IF(98&gt;Sizing!$B$25,"",98)</f>
        <v>98</v>
      </c>
      <c r="B103" s="34" t="n">
        <f aca="false">IF(A103="","",EDATE(Inputs!$B$29,98-1))</f>
        <v>49310</v>
      </c>
      <c r="C103" s="35" t="n">
        <f aca="false">IF(A103="","",G102)</f>
        <v>2961810.88183396</v>
      </c>
      <c r="D103" s="35" t="n">
        <f aca="false">IF(A103="","",MIN(Sizing!$B$32,C103*(1+Sizing!$B$24/12)))</f>
        <v>22511.8172418543</v>
      </c>
      <c r="E103" s="35" t="n">
        <f aca="false">IF(A103="","",C103*Sizing!$B$24/12)</f>
        <v>17894.2740777468</v>
      </c>
      <c r="F103" s="35" t="n">
        <f aca="false">IF(A103="","",D103-E103)</f>
        <v>4617.54316410752</v>
      </c>
      <c r="G103" s="35" t="n">
        <f aca="false">IF(A103="","",MAX(0,C103-F103))</f>
        <v>2957193.33866985</v>
      </c>
      <c r="H103" s="36" t="n">
        <f aca="false">IF(A103="","",IF(Inputs!$B$35="5-4-3-2-1 step-down",MAX(0,6-ROUNDUP(A103/12,0))/100,IF(Inputs!$B$35="3-2-1 step-down",MAX(0,4-ROUNDUP(A103/12,0))/100,0)))</f>
        <v>0</v>
      </c>
      <c r="I103" s="35" t="n">
        <f aca="false">IF(A103="","",G103*(1+H103))</f>
        <v>2957193.33866985</v>
      </c>
    </row>
    <row r="104" customFormat="false" ht="15" hidden="false" customHeight="false" outlineLevel="0" collapsed="false">
      <c r="A104" s="29" t="n">
        <f aca="false">IF(99&gt;Sizing!$B$25,"",99)</f>
        <v>99</v>
      </c>
      <c r="B104" s="30" t="n">
        <f aca="false">IF(A104="","",EDATE(Inputs!$B$29,99-1))</f>
        <v>49341</v>
      </c>
      <c r="C104" s="31" t="n">
        <f aca="false">IF(A104="","",G103)</f>
        <v>2957193.33866985</v>
      </c>
      <c r="D104" s="31" t="n">
        <f aca="false">IF(A104="","",MIN(Sizing!$B$32,C104*(1+Sizing!$B$24/12)))</f>
        <v>22511.8172418543</v>
      </c>
      <c r="E104" s="31" t="n">
        <f aca="false">IF(A104="","",C104*Sizing!$B$24/12)</f>
        <v>17866.3764211303</v>
      </c>
      <c r="F104" s="31" t="n">
        <f aca="false">IF(A104="","",D104-E104)</f>
        <v>4645.44082072401</v>
      </c>
      <c r="G104" s="31" t="n">
        <f aca="false">IF(A104="","",MAX(0,C104-F104))</f>
        <v>2952547.89784912</v>
      </c>
      <c r="H104" s="32" t="n">
        <f aca="false">IF(A104="","",IF(Inputs!$B$35="5-4-3-2-1 step-down",MAX(0,6-ROUNDUP(A104/12,0))/100,IF(Inputs!$B$35="3-2-1 step-down",MAX(0,4-ROUNDUP(A104/12,0))/100,0)))</f>
        <v>0</v>
      </c>
      <c r="I104" s="31" t="n">
        <f aca="false">IF(A104="","",G104*(1+H104))</f>
        <v>2952547.89784912</v>
      </c>
    </row>
    <row r="105" customFormat="false" ht="15" hidden="false" customHeight="false" outlineLevel="0" collapsed="false">
      <c r="A105" s="33" t="n">
        <f aca="false">IF(100&gt;Sizing!$B$25,"",100)</f>
        <v>100</v>
      </c>
      <c r="B105" s="34" t="n">
        <f aca="false">IF(A105="","",EDATE(Inputs!$B$29,100-1))</f>
        <v>49369</v>
      </c>
      <c r="C105" s="35" t="n">
        <f aca="false">IF(A105="","",G104)</f>
        <v>2952547.89784912</v>
      </c>
      <c r="D105" s="35" t="n">
        <f aca="false">IF(A105="","",MIN(Sizing!$B$32,C105*(1+Sizing!$B$24/12)))</f>
        <v>22511.8172418543</v>
      </c>
      <c r="E105" s="35" t="n">
        <f aca="false">IF(A105="","",C105*Sizing!$B$24/12)</f>
        <v>17838.3102161718</v>
      </c>
      <c r="F105" s="35" t="n">
        <f aca="false">IF(A105="","",D105-E105)</f>
        <v>4673.50702568255</v>
      </c>
      <c r="G105" s="35" t="n">
        <f aca="false">IF(A105="","",MAX(0,C105-F105))</f>
        <v>2947874.39082344</v>
      </c>
      <c r="H105" s="36" t="n">
        <f aca="false">IF(A105="","",IF(Inputs!$B$35="5-4-3-2-1 step-down",MAX(0,6-ROUNDUP(A105/12,0))/100,IF(Inputs!$B$35="3-2-1 step-down",MAX(0,4-ROUNDUP(A105/12,0))/100,0)))</f>
        <v>0</v>
      </c>
      <c r="I105" s="35" t="n">
        <f aca="false">IF(A105="","",G105*(1+H105))</f>
        <v>2947874.39082344</v>
      </c>
    </row>
    <row r="106" customFormat="false" ht="15" hidden="false" customHeight="false" outlineLevel="0" collapsed="false">
      <c r="A106" s="29" t="n">
        <f aca="false">IF(101&gt;Sizing!$B$25,"",101)</f>
        <v>101</v>
      </c>
      <c r="B106" s="30" t="n">
        <f aca="false">IF(A106="","",EDATE(Inputs!$B$29,101-1))</f>
        <v>49400</v>
      </c>
      <c r="C106" s="31" t="n">
        <f aca="false">IF(A106="","",G105)</f>
        <v>2947874.39082344</v>
      </c>
      <c r="D106" s="31" t="n">
        <f aca="false">IF(A106="","",MIN(Sizing!$B$32,C106*(1+Sizing!$B$24/12)))</f>
        <v>22511.8172418543</v>
      </c>
      <c r="E106" s="31" t="n">
        <f aca="false">IF(A106="","",C106*Sizing!$B$24/12)</f>
        <v>17810.0744445583</v>
      </c>
      <c r="F106" s="31" t="n">
        <f aca="false">IF(A106="","",D106-E106)</f>
        <v>4701.74279729604</v>
      </c>
      <c r="G106" s="31" t="n">
        <f aca="false">IF(A106="","",MAX(0,C106-F106))</f>
        <v>2943172.64802615</v>
      </c>
      <c r="H106" s="32" t="n">
        <f aca="false">IF(A106="","",IF(Inputs!$B$35="5-4-3-2-1 step-down",MAX(0,6-ROUNDUP(A106/12,0))/100,IF(Inputs!$B$35="3-2-1 step-down",MAX(0,4-ROUNDUP(A106/12,0))/100,0)))</f>
        <v>0</v>
      </c>
      <c r="I106" s="31" t="n">
        <f aca="false">IF(A106="","",G106*(1+H106))</f>
        <v>2943172.64802615</v>
      </c>
    </row>
    <row r="107" customFormat="false" ht="15" hidden="false" customHeight="false" outlineLevel="0" collapsed="false">
      <c r="A107" s="33" t="n">
        <f aca="false">IF(102&gt;Sizing!$B$25,"",102)</f>
        <v>102</v>
      </c>
      <c r="B107" s="34" t="n">
        <f aca="false">IF(A107="","",EDATE(Inputs!$B$29,102-1))</f>
        <v>49430</v>
      </c>
      <c r="C107" s="35" t="n">
        <f aca="false">IF(A107="","",G106)</f>
        <v>2943172.64802615</v>
      </c>
      <c r="D107" s="35" t="n">
        <f aca="false">IF(A107="","",MIN(Sizing!$B$32,C107*(1+Sizing!$B$24/12)))</f>
        <v>22511.8172418543</v>
      </c>
      <c r="E107" s="35" t="n">
        <f aca="false">IF(A107="","",C107*Sizing!$B$24/12)</f>
        <v>17781.6680818246</v>
      </c>
      <c r="F107" s="35" t="n">
        <f aca="false">IF(A107="","",D107-E107)</f>
        <v>4730.14916002971</v>
      </c>
      <c r="G107" s="35" t="n">
        <f aca="false">IF(A107="","",MAX(0,C107-F107))</f>
        <v>2938442.49886612</v>
      </c>
      <c r="H107" s="36" t="n">
        <f aca="false">IF(A107="","",IF(Inputs!$B$35="5-4-3-2-1 step-down",MAX(0,6-ROUNDUP(A107/12,0))/100,IF(Inputs!$B$35="3-2-1 step-down",MAX(0,4-ROUNDUP(A107/12,0))/100,0)))</f>
        <v>0</v>
      </c>
      <c r="I107" s="35" t="n">
        <f aca="false">IF(A107="","",G107*(1+H107))</f>
        <v>2938442.49886612</v>
      </c>
    </row>
    <row r="108" customFormat="false" ht="15" hidden="false" customHeight="false" outlineLevel="0" collapsed="false">
      <c r="A108" s="29" t="n">
        <f aca="false">IF(103&gt;Sizing!$B$25,"",103)</f>
        <v>103</v>
      </c>
      <c r="B108" s="30" t="n">
        <f aca="false">IF(A108="","",EDATE(Inputs!$B$29,103-1))</f>
        <v>49461</v>
      </c>
      <c r="C108" s="31" t="n">
        <f aca="false">IF(A108="","",G107)</f>
        <v>2938442.49886612</v>
      </c>
      <c r="D108" s="31" t="n">
        <f aca="false">IF(A108="","",MIN(Sizing!$B$32,C108*(1+Sizing!$B$24/12)))</f>
        <v>22511.8172418543</v>
      </c>
      <c r="E108" s="31" t="n">
        <f aca="false">IF(A108="","",C108*Sizing!$B$24/12)</f>
        <v>17753.0900973161</v>
      </c>
      <c r="F108" s="31" t="n">
        <f aca="false">IF(A108="","",D108-E108)</f>
        <v>4758.72714453822</v>
      </c>
      <c r="G108" s="31" t="n">
        <f aca="false">IF(A108="","",MAX(0,C108-F108))</f>
        <v>2933683.77172158</v>
      </c>
      <c r="H108" s="32" t="n">
        <f aca="false">IF(A108="","",IF(Inputs!$B$35="5-4-3-2-1 step-down",MAX(0,6-ROUNDUP(A108/12,0))/100,IF(Inputs!$B$35="3-2-1 step-down",MAX(0,4-ROUNDUP(A108/12,0))/100,0)))</f>
        <v>0</v>
      </c>
      <c r="I108" s="31" t="n">
        <f aca="false">IF(A108="","",G108*(1+H108))</f>
        <v>2933683.77172158</v>
      </c>
    </row>
    <row r="109" customFormat="false" ht="15" hidden="false" customHeight="false" outlineLevel="0" collapsed="false">
      <c r="A109" s="33" t="n">
        <f aca="false">IF(104&gt;Sizing!$B$25,"",104)</f>
        <v>104</v>
      </c>
      <c r="B109" s="34" t="n">
        <f aca="false">IF(A109="","",EDATE(Inputs!$B$29,104-1))</f>
        <v>49491</v>
      </c>
      <c r="C109" s="35" t="n">
        <f aca="false">IF(A109="","",G108)</f>
        <v>2933683.77172158</v>
      </c>
      <c r="D109" s="35" t="n">
        <f aca="false">IF(A109="","",MIN(Sizing!$B$32,C109*(1+Sizing!$B$24/12)))</f>
        <v>22511.8172418543</v>
      </c>
      <c r="E109" s="35" t="n">
        <f aca="false">IF(A109="","",C109*Sizing!$B$24/12)</f>
        <v>17724.3394541512</v>
      </c>
      <c r="F109" s="35" t="n">
        <f aca="false">IF(A109="","",D109-E109)</f>
        <v>4787.47778770314</v>
      </c>
      <c r="G109" s="35" t="n">
        <f aca="false">IF(A109="","",MAX(0,C109-F109))</f>
        <v>2928896.29393387</v>
      </c>
      <c r="H109" s="36" t="n">
        <f aca="false">IF(A109="","",IF(Inputs!$B$35="5-4-3-2-1 step-down",MAX(0,6-ROUNDUP(A109/12,0))/100,IF(Inputs!$B$35="3-2-1 step-down",MAX(0,4-ROUNDUP(A109/12,0))/100,0)))</f>
        <v>0</v>
      </c>
      <c r="I109" s="35" t="n">
        <f aca="false">IF(A109="","",G109*(1+H109))</f>
        <v>2928896.29393387</v>
      </c>
    </row>
    <row r="110" customFormat="false" ht="15" hidden="false" customHeight="false" outlineLevel="0" collapsed="false">
      <c r="A110" s="29" t="n">
        <f aca="false">IF(105&gt;Sizing!$B$25,"",105)</f>
        <v>105</v>
      </c>
      <c r="B110" s="30" t="n">
        <f aca="false">IF(A110="","",EDATE(Inputs!$B$29,105-1))</f>
        <v>49522</v>
      </c>
      <c r="C110" s="31" t="n">
        <f aca="false">IF(A110="","",G109)</f>
        <v>2928896.29393387</v>
      </c>
      <c r="D110" s="31" t="n">
        <f aca="false">IF(A110="","",MIN(Sizing!$B$32,C110*(1+Sizing!$B$24/12)))</f>
        <v>22511.8172418543</v>
      </c>
      <c r="E110" s="31" t="n">
        <f aca="false">IF(A110="","",C110*Sizing!$B$24/12)</f>
        <v>17695.4151091838</v>
      </c>
      <c r="F110" s="31" t="n">
        <f aca="false">IF(A110="","",D110-E110)</f>
        <v>4816.40213267051</v>
      </c>
      <c r="G110" s="31" t="n">
        <f aca="false">IF(A110="","",MAX(0,C110-F110))</f>
        <v>2924079.8918012</v>
      </c>
      <c r="H110" s="32" t="n">
        <f aca="false">IF(A110="","",IF(Inputs!$B$35="5-4-3-2-1 step-down",MAX(0,6-ROUNDUP(A110/12,0))/100,IF(Inputs!$B$35="3-2-1 step-down",MAX(0,4-ROUNDUP(A110/12,0))/100,0)))</f>
        <v>0</v>
      </c>
      <c r="I110" s="31" t="n">
        <f aca="false">IF(A110="","",G110*(1+H110))</f>
        <v>2924079.8918012</v>
      </c>
    </row>
    <row r="111" customFormat="false" ht="15" hidden="false" customHeight="false" outlineLevel="0" collapsed="false">
      <c r="A111" s="33" t="n">
        <f aca="false">IF(106&gt;Sizing!$B$25,"",106)</f>
        <v>106</v>
      </c>
      <c r="B111" s="34" t="n">
        <f aca="false">IF(A111="","",EDATE(Inputs!$B$29,106-1))</f>
        <v>49553</v>
      </c>
      <c r="C111" s="35" t="n">
        <f aca="false">IF(A111="","",G110)</f>
        <v>2924079.8918012</v>
      </c>
      <c r="D111" s="35" t="n">
        <f aca="false">IF(A111="","",MIN(Sizing!$B$32,C111*(1+Sizing!$B$24/12)))</f>
        <v>22511.8172418543</v>
      </c>
      <c r="E111" s="35" t="n">
        <f aca="false">IF(A111="","",C111*Sizing!$B$24/12)</f>
        <v>17666.3160129656</v>
      </c>
      <c r="F111" s="35" t="n">
        <f aca="false">IF(A111="","",D111-E111)</f>
        <v>4845.50122888873</v>
      </c>
      <c r="G111" s="35" t="n">
        <f aca="false">IF(A111="","",MAX(0,C111-F111))</f>
        <v>2919234.39057232</v>
      </c>
      <c r="H111" s="36" t="n">
        <f aca="false">IF(A111="","",IF(Inputs!$B$35="5-4-3-2-1 step-down",MAX(0,6-ROUNDUP(A111/12,0))/100,IF(Inputs!$B$35="3-2-1 step-down",MAX(0,4-ROUNDUP(A111/12,0))/100,0)))</f>
        <v>0</v>
      </c>
      <c r="I111" s="35" t="n">
        <f aca="false">IF(A111="","",G111*(1+H111))</f>
        <v>2919234.39057232</v>
      </c>
    </row>
    <row r="112" customFormat="false" ht="15" hidden="false" customHeight="false" outlineLevel="0" collapsed="false">
      <c r="A112" s="29" t="n">
        <f aca="false">IF(107&gt;Sizing!$B$25,"",107)</f>
        <v>107</v>
      </c>
      <c r="B112" s="30" t="n">
        <f aca="false">IF(A112="","",EDATE(Inputs!$B$29,107-1))</f>
        <v>49583</v>
      </c>
      <c r="C112" s="31" t="n">
        <f aca="false">IF(A112="","",G111)</f>
        <v>2919234.39057232</v>
      </c>
      <c r="D112" s="31" t="n">
        <f aca="false">IF(A112="","",MIN(Sizing!$B$32,C112*(1+Sizing!$B$24/12)))</f>
        <v>22511.8172418543</v>
      </c>
      <c r="E112" s="31" t="n">
        <f aca="false">IF(A112="","",C112*Sizing!$B$24/12)</f>
        <v>17637.0411097077</v>
      </c>
      <c r="F112" s="31" t="n">
        <f aca="false">IF(A112="","",D112-E112)</f>
        <v>4874.7761321466</v>
      </c>
      <c r="G112" s="31" t="n">
        <f aca="false">IF(A112="","",MAX(0,C112-F112))</f>
        <v>2914359.61444017</v>
      </c>
      <c r="H112" s="32" t="n">
        <f aca="false">IF(A112="","",IF(Inputs!$B$35="5-4-3-2-1 step-down",MAX(0,6-ROUNDUP(A112/12,0))/100,IF(Inputs!$B$35="3-2-1 step-down",MAX(0,4-ROUNDUP(A112/12,0))/100,0)))</f>
        <v>0</v>
      </c>
      <c r="I112" s="31" t="n">
        <f aca="false">IF(A112="","",G112*(1+H112))</f>
        <v>2914359.61444017</v>
      </c>
    </row>
    <row r="113" customFormat="false" ht="15" hidden="false" customHeight="false" outlineLevel="0" collapsed="false">
      <c r="A113" s="33" t="n">
        <f aca="false">IF(108&gt;Sizing!$B$25,"",108)</f>
        <v>108</v>
      </c>
      <c r="B113" s="34" t="n">
        <f aca="false">IF(A113="","",EDATE(Inputs!$B$29,108-1))</f>
        <v>49614</v>
      </c>
      <c r="C113" s="35" t="n">
        <f aca="false">IF(A113="","",G112)</f>
        <v>2914359.61444017</v>
      </c>
      <c r="D113" s="35" t="n">
        <f aca="false">IF(A113="","",MIN(Sizing!$B$32,C113*(1+Sizing!$B$24/12)))</f>
        <v>22511.8172418543</v>
      </c>
      <c r="E113" s="35" t="n">
        <f aca="false">IF(A113="","",C113*Sizing!$B$24/12)</f>
        <v>17607.5893372427</v>
      </c>
      <c r="F113" s="35" t="n">
        <f aca="false">IF(A113="","",D113-E113)</f>
        <v>4904.22790461165</v>
      </c>
      <c r="G113" s="35" t="n">
        <f aca="false">IF(A113="","",MAX(0,C113-F113))</f>
        <v>2909455.38653556</v>
      </c>
      <c r="H113" s="36" t="n">
        <f aca="false">IF(A113="","",IF(Inputs!$B$35="5-4-3-2-1 step-down",MAX(0,6-ROUNDUP(A113/12,0))/100,IF(Inputs!$B$35="3-2-1 step-down",MAX(0,4-ROUNDUP(A113/12,0))/100,0)))</f>
        <v>0</v>
      </c>
      <c r="I113" s="35" t="n">
        <f aca="false">IF(A113="","",G113*(1+H113))</f>
        <v>2909455.38653556</v>
      </c>
    </row>
    <row r="114" customFormat="false" ht="15" hidden="false" customHeight="false" outlineLevel="0" collapsed="false">
      <c r="A114" s="29" t="n">
        <f aca="false">IF(109&gt;Sizing!$B$25,"",109)</f>
        <v>109</v>
      </c>
      <c r="B114" s="30" t="n">
        <f aca="false">IF(A114="","",EDATE(Inputs!$B$29,109-1))</f>
        <v>49644</v>
      </c>
      <c r="C114" s="31" t="n">
        <f aca="false">IF(A114="","",G113)</f>
        <v>2909455.38653556</v>
      </c>
      <c r="D114" s="31" t="n">
        <f aca="false">IF(A114="","",MIN(Sizing!$B$32,C114*(1+Sizing!$B$24/12)))</f>
        <v>22511.8172418543</v>
      </c>
      <c r="E114" s="31" t="n">
        <f aca="false">IF(A114="","",C114*Sizing!$B$24/12)</f>
        <v>17577.9596269857</v>
      </c>
      <c r="F114" s="31" t="n">
        <f aca="false">IF(A114="","",D114-E114)</f>
        <v>4933.85761486868</v>
      </c>
      <c r="G114" s="31" t="n">
        <f aca="false">IF(A114="","",MAX(0,C114-F114))</f>
        <v>2904521.52892069</v>
      </c>
      <c r="H114" s="32" t="n">
        <f aca="false">IF(A114="","",IF(Inputs!$B$35="5-4-3-2-1 step-down",MAX(0,6-ROUNDUP(A114/12,0))/100,IF(Inputs!$B$35="3-2-1 step-down",MAX(0,4-ROUNDUP(A114/12,0))/100,0)))</f>
        <v>0</v>
      </c>
      <c r="I114" s="31" t="n">
        <f aca="false">IF(A114="","",G114*(1+H114))</f>
        <v>2904521.52892069</v>
      </c>
    </row>
    <row r="115" customFormat="false" ht="15" hidden="false" customHeight="false" outlineLevel="0" collapsed="false">
      <c r="A115" s="33" t="n">
        <f aca="false">IF(110&gt;Sizing!$B$25,"",110)</f>
        <v>110</v>
      </c>
      <c r="B115" s="34" t="n">
        <f aca="false">IF(A115="","",EDATE(Inputs!$B$29,110-1))</f>
        <v>49675</v>
      </c>
      <c r="C115" s="35" t="n">
        <f aca="false">IF(A115="","",G114)</f>
        <v>2904521.52892069</v>
      </c>
      <c r="D115" s="35" t="n">
        <f aca="false">IF(A115="","",MIN(Sizing!$B$32,C115*(1+Sizing!$B$24/12)))</f>
        <v>22511.8172418543</v>
      </c>
      <c r="E115" s="35" t="n">
        <f aca="false">IF(A115="","",C115*Sizing!$B$24/12)</f>
        <v>17548.1509038958</v>
      </c>
      <c r="F115" s="35" t="n">
        <f aca="false">IF(A115="","",D115-E115)</f>
        <v>4963.66633795851</v>
      </c>
      <c r="G115" s="35" t="n">
        <f aca="false">IF(A115="","",MAX(0,C115-F115))</f>
        <v>2899557.86258273</v>
      </c>
      <c r="H115" s="36" t="n">
        <f aca="false">IF(A115="","",IF(Inputs!$B$35="5-4-3-2-1 step-down",MAX(0,6-ROUNDUP(A115/12,0))/100,IF(Inputs!$B$35="3-2-1 step-down",MAX(0,4-ROUNDUP(A115/12,0))/100,0)))</f>
        <v>0</v>
      </c>
      <c r="I115" s="35" t="n">
        <f aca="false">IF(A115="","",G115*(1+H115))</f>
        <v>2899557.86258273</v>
      </c>
    </row>
    <row r="116" customFormat="false" ht="15" hidden="false" customHeight="false" outlineLevel="0" collapsed="false">
      <c r="A116" s="29" t="n">
        <f aca="false">IF(111&gt;Sizing!$B$25,"",111)</f>
        <v>111</v>
      </c>
      <c r="B116" s="30" t="n">
        <f aca="false">IF(A116="","",EDATE(Inputs!$B$29,111-1))</f>
        <v>49706</v>
      </c>
      <c r="C116" s="31" t="n">
        <f aca="false">IF(A116="","",G115)</f>
        <v>2899557.86258273</v>
      </c>
      <c r="D116" s="31" t="n">
        <f aca="false">IF(A116="","",MIN(Sizing!$B$32,C116*(1+Sizing!$B$24/12)))</f>
        <v>22511.8172418543</v>
      </c>
      <c r="E116" s="31" t="n">
        <f aca="false">IF(A116="","",C116*Sizing!$B$24/12)</f>
        <v>17518.1620864373</v>
      </c>
      <c r="F116" s="31" t="n">
        <f aca="false">IF(A116="","",D116-E116)</f>
        <v>4993.65515541701</v>
      </c>
      <c r="G116" s="31" t="n">
        <f aca="false">IF(A116="","",MAX(0,C116-F116))</f>
        <v>2894564.20742731</v>
      </c>
      <c r="H116" s="32" t="n">
        <f aca="false">IF(A116="","",IF(Inputs!$B$35="5-4-3-2-1 step-down",MAX(0,6-ROUNDUP(A116/12,0))/100,IF(Inputs!$B$35="3-2-1 step-down",MAX(0,4-ROUNDUP(A116/12,0))/100,0)))</f>
        <v>0</v>
      </c>
      <c r="I116" s="31" t="n">
        <f aca="false">IF(A116="","",G116*(1+H116))</f>
        <v>2894564.20742731</v>
      </c>
    </row>
    <row r="117" customFormat="false" ht="15" hidden="false" customHeight="false" outlineLevel="0" collapsed="false">
      <c r="A117" s="33" t="n">
        <f aca="false">IF(112&gt;Sizing!$B$25,"",112)</f>
        <v>112</v>
      </c>
      <c r="B117" s="34" t="n">
        <f aca="false">IF(A117="","",EDATE(Inputs!$B$29,112-1))</f>
        <v>49735</v>
      </c>
      <c r="C117" s="35" t="n">
        <f aca="false">IF(A117="","",G116)</f>
        <v>2894564.20742731</v>
      </c>
      <c r="D117" s="35" t="n">
        <f aca="false">IF(A117="","",MIN(Sizing!$B$32,C117*(1+Sizing!$B$24/12)))</f>
        <v>22511.8172418543</v>
      </c>
      <c r="E117" s="35" t="n">
        <f aca="false">IF(A117="","",C117*Sizing!$B$24/12)</f>
        <v>17487.99208654</v>
      </c>
      <c r="F117" s="35" t="n">
        <f aca="false">IF(A117="","",D117-E117)</f>
        <v>5023.82515531432</v>
      </c>
      <c r="G117" s="35" t="n">
        <f aca="false">IF(A117="","",MAX(0,C117-F117))</f>
        <v>2889540.382272</v>
      </c>
      <c r="H117" s="36" t="n">
        <f aca="false">IF(A117="","",IF(Inputs!$B$35="5-4-3-2-1 step-down",MAX(0,6-ROUNDUP(A117/12,0))/100,IF(Inputs!$B$35="3-2-1 step-down",MAX(0,4-ROUNDUP(A117/12,0))/100,0)))</f>
        <v>0</v>
      </c>
      <c r="I117" s="35" t="n">
        <f aca="false">IF(A117="","",G117*(1+H117))</f>
        <v>2889540.382272</v>
      </c>
    </row>
    <row r="118" customFormat="false" ht="15" hidden="false" customHeight="false" outlineLevel="0" collapsed="false">
      <c r="A118" s="29" t="n">
        <f aca="false">IF(113&gt;Sizing!$B$25,"",113)</f>
        <v>113</v>
      </c>
      <c r="B118" s="30" t="n">
        <f aca="false">IF(A118="","",EDATE(Inputs!$B$29,113-1))</f>
        <v>49766</v>
      </c>
      <c r="C118" s="31" t="n">
        <f aca="false">IF(A118="","",G117)</f>
        <v>2889540.382272</v>
      </c>
      <c r="D118" s="31" t="n">
        <f aca="false">IF(A118="","",MIN(Sizing!$B$32,C118*(1+Sizing!$B$24/12)))</f>
        <v>22511.8172418543</v>
      </c>
      <c r="E118" s="31" t="n">
        <f aca="false">IF(A118="","",C118*Sizing!$B$24/12)</f>
        <v>17457.63980956</v>
      </c>
      <c r="F118" s="31" t="n">
        <f aca="false">IF(A118="","",D118-E118)</f>
        <v>5054.17743229435</v>
      </c>
      <c r="G118" s="31" t="n">
        <f aca="false">IF(A118="","",MAX(0,C118-F118))</f>
        <v>2884486.2048397</v>
      </c>
      <c r="H118" s="32" t="n">
        <f aca="false">IF(A118="","",IF(Inputs!$B$35="5-4-3-2-1 step-down",MAX(0,6-ROUNDUP(A118/12,0))/100,IF(Inputs!$B$35="3-2-1 step-down",MAX(0,4-ROUNDUP(A118/12,0))/100,0)))</f>
        <v>0</v>
      </c>
      <c r="I118" s="31" t="n">
        <f aca="false">IF(A118="","",G118*(1+H118))</f>
        <v>2884486.2048397</v>
      </c>
    </row>
    <row r="119" customFormat="false" ht="15" hidden="false" customHeight="false" outlineLevel="0" collapsed="false">
      <c r="A119" s="33" t="n">
        <f aca="false">IF(114&gt;Sizing!$B$25,"",114)</f>
        <v>114</v>
      </c>
      <c r="B119" s="34" t="n">
        <f aca="false">IF(A119="","",EDATE(Inputs!$B$29,114-1))</f>
        <v>49796</v>
      </c>
      <c r="C119" s="35" t="n">
        <f aca="false">IF(A119="","",G118)</f>
        <v>2884486.2048397</v>
      </c>
      <c r="D119" s="35" t="n">
        <f aca="false">IF(A119="","",MIN(Sizing!$B$32,C119*(1+Sizing!$B$24/12)))</f>
        <v>22511.8172418543</v>
      </c>
      <c r="E119" s="35" t="n">
        <f aca="false">IF(A119="","",C119*Sizing!$B$24/12)</f>
        <v>17427.1041542399</v>
      </c>
      <c r="F119" s="35" t="n">
        <f aca="false">IF(A119="","",D119-E119)</f>
        <v>5084.71308761446</v>
      </c>
      <c r="G119" s="35" t="n">
        <f aca="false">IF(A119="","",MAX(0,C119-F119))</f>
        <v>2879401.49175209</v>
      </c>
      <c r="H119" s="36" t="n">
        <f aca="false">IF(A119="","",IF(Inputs!$B$35="5-4-3-2-1 step-down",MAX(0,6-ROUNDUP(A119/12,0))/100,IF(Inputs!$B$35="3-2-1 step-down",MAX(0,4-ROUNDUP(A119/12,0))/100,0)))</f>
        <v>0</v>
      </c>
      <c r="I119" s="35" t="n">
        <f aca="false">IF(A119="","",G119*(1+H119))</f>
        <v>2879401.49175209</v>
      </c>
    </row>
    <row r="120" customFormat="false" ht="15" hidden="false" customHeight="false" outlineLevel="0" collapsed="false">
      <c r="A120" s="29" t="n">
        <f aca="false">IF(115&gt;Sizing!$B$25,"",115)</f>
        <v>115</v>
      </c>
      <c r="B120" s="30" t="n">
        <f aca="false">IF(A120="","",EDATE(Inputs!$B$29,115-1))</f>
        <v>49827</v>
      </c>
      <c r="C120" s="31" t="n">
        <f aca="false">IF(A120="","",G119)</f>
        <v>2879401.49175209</v>
      </c>
      <c r="D120" s="31" t="n">
        <f aca="false">IF(A120="","",MIN(Sizing!$B$32,C120*(1+Sizing!$B$24/12)))</f>
        <v>22511.8172418543</v>
      </c>
      <c r="E120" s="31" t="n">
        <f aca="false">IF(A120="","",C120*Sizing!$B$24/12)</f>
        <v>17396.3840126689</v>
      </c>
      <c r="F120" s="31" t="n">
        <f aca="false">IF(A120="","",D120-E120)</f>
        <v>5115.43322918547</v>
      </c>
      <c r="G120" s="31" t="n">
        <f aca="false">IF(A120="","",MAX(0,C120-F120))</f>
        <v>2874286.0585229</v>
      </c>
      <c r="H120" s="32" t="n">
        <f aca="false">IF(A120="","",IF(Inputs!$B$35="5-4-3-2-1 step-down",MAX(0,6-ROUNDUP(A120/12,0))/100,IF(Inputs!$B$35="3-2-1 step-down",MAX(0,4-ROUNDUP(A120/12,0))/100,0)))</f>
        <v>0</v>
      </c>
      <c r="I120" s="31" t="n">
        <f aca="false">IF(A120="","",G120*(1+H120))</f>
        <v>2874286.0585229</v>
      </c>
    </row>
    <row r="121" customFormat="false" ht="15" hidden="false" customHeight="false" outlineLevel="0" collapsed="false">
      <c r="A121" s="33" t="n">
        <f aca="false">IF(116&gt;Sizing!$B$25,"",116)</f>
        <v>116</v>
      </c>
      <c r="B121" s="34" t="n">
        <f aca="false">IF(A121="","",EDATE(Inputs!$B$29,116-1))</f>
        <v>49857</v>
      </c>
      <c r="C121" s="35" t="n">
        <f aca="false">IF(A121="","",G120)</f>
        <v>2874286.0585229</v>
      </c>
      <c r="D121" s="35" t="n">
        <f aca="false">IF(A121="","",MIN(Sizing!$B$32,C121*(1+Sizing!$B$24/12)))</f>
        <v>22511.8172418543</v>
      </c>
      <c r="E121" s="35" t="n">
        <f aca="false">IF(A121="","",C121*Sizing!$B$24/12)</f>
        <v>17365.4782702425</v>
      </c>
      <c r="F121" s="35" t="n">
        <f aca="false">IF(A121="","",D121-E121)</f>
        <v>5146.3389716118</v>
      </c>
      <c r="G121" s="35" t="n">
        <f aca="false">IF(A121="","",MAX(0,C121-F121))</f>
        <v>2869139.71955129</v>
      </c>
      <c r="H121" s="36" t="n">
        <f aca="false">IF(A121="","",IF(Inputs!$B$35="5-4-3-2-1 step-down",MAX(0,6-ROUNDUP(A121/12,0))/100,IF(Inputs!$B$35="3-2-1 step-down",MAX(0,4-ROUNDUP(A121/12,0))/100,0)))</f>
        <v>0</v>
      </c>
      <c r="I121" s="35" t="n">
        <f aca="false">IF(A121="","",G121*(1+H121))</f>
        <v>2869139.71955129</v>
      </c>
    </row>
    <row r="122" customFormat="false" ht="15" hidden="false" customHeight="false" outlineLevel="0" collapsed="false">
      <c r="A122" s="29" t="n">
        <f aca="false">IF(117&gt;Sizing!$B$25,"",117)</f>
        <v>117</v>
      </c>
      <c r="B122" s="30" t="n">
        <f aca="false">IF(A122="","",EDATE(Inputs!$B$29,117-1))</f>
        <v>49888</v>
      </c>
      <c r="C122" s="31" t="n">
        <f aca="false">IF(A122="","",G121)</f>
        <v>2869139.71955129</v>
      </c>
      <c r="D122" s="31" t="n">
        <f aca="false">IF(A122="","",MIN(Sizing!$B$32,C122*(1+Sizing!$B$24/12)))</f>
        <v>22511.8172418543</v>
      </c>
      <c r="E122" s="31" t="n">
        <f aca="false">IF(A122="","",C122*Sizing!$B$24/12)</f>
        <v>17334.3858056224</v>
      </c>
      <c r="F122" s="31" t="n">
        <f aca="false">IF(A122="","",D122-E122)</f>
        <v>5177.43143623195</v>
      </c>
      <c r="G122" s="31" t="n">
        <f aca="false">IF(A122="","",MAX(0,C122-F122))</f>
        <v>2863962.28811506</v>
      </c>
      <c r="H122" s="32" t="n">
        <f aca="false">IF(A122="","",IF(Inputs!$B$35="5-4-3-2-1 step-down",MAX(0,6-ROUNDUP(A122/12,0))/100,IF(Inputs!$B$35="3-2-1 step-down",MAX(0,4-ROUNDUP(A122/12,0))/100,0)))</f>
        <v>0</v>
      </c>
      <c r="I122" s="31" t="n">
        <f aca="false">IF(A122="","",G122*(1+H122))</f>
        <v>2863962.28811506</v>
      </c>
    </row>
    <row r="123" customFormat="false" ht="15" hidden="false" customHeight="false" outlineLevel="0" collapsed="false">
      <c r="A123" s="33" t="n">
        <f aca="false">IF(118&gt;Sizing!$B$25,"",118)</f>
        <v>118</v>
      </c>
      <c r="B123" s="34" t="n">
        <f aca="false">IF(A123="","",EDATE(Inputs!$B$29,118-1))</f>
        <v>49919</v>
      </c>
      <c r="C123" s="35" t="n">
        <f aca="false">IF(A123="","",G122)</f>
        <v>2863962.28811506</v>
      </c>
      <c r="D123" s="35" t="n">
        <f aca="false">IF(A123="","",MIN(Sizing!$B$32,C123*(1+Sizing!$B$24/12)))</f>
        <v>22511.8172418543</v>
      </c>
      <c r="E123" s="35" t="n">
        <f aca="false">IF(A123="","",C123*Sizing!$B$24/12)</f>
        <v>17303.1054906952</v>
      </c>
      <c r="F123" s="35" t="n">
        <f aca="false">IF(A123="","",D123-E123)</f>
        <v>5208.71175115918</v>
      </c>
      <c r="G123" s="35" t="n">
        <f aca="false">IF(A123="","",MAX(0,C123-F123))</f>
        <v>2858753.5763639</v>
      </c>
      <c r="H123" s="36" t="n">
        <f aca="false">IF(A123="","",IF(Inputs!$B$35="5-4-3-2-1 step-down",MAX(0,6-ROUNDUP(A123/12,0))/100,IF(Inputs!$B$35="3-2-1 step-down",MAX(0,4-ROUNDUP(A123/12,0))/100,0)))</f>
        <v>0</v>
      </c>
      <c r="I123" s="35" t="n">
        <f aca="false">IF(A123="","",G123*(1+H123))</f>
        <v>2858753.5763639</v>
      </c>
    </row>
    <row r="124" customFormat="false" ht="15" hidden="false" customHeight="false" outlineLevel="0" collapsed="false">
      <c r="A124" s="29" t="n">
        <f aca="false">IF(119&gt;Sizing!$B$25,"",119)</f>
        <v>119</v>
      </c>
      <c r="B124" s="30" t="n">
        <f aca="false">IF(A124="","",EDATE(Inputs!$B$29,119-1))</f>
        <v>49949</v>
      </c>
      <c r="C124" s="31" t="n">
        <f aca="false">IF(A124="","",G123)</f>
        <v>2858753.5763639</v>
      </c>
      <c r="D124" s="31" t="n">
        <f aca="false">IF(A124="","",MIN(Sizing!$B$32,C124*(1+Sizing!$B$24/12)))</f>
        <v>22511.8172418543</v>
      </c>
      <c r="E124" s="31" t="n">
        <f aca="false">IF(A124="","",C124*Sizing!$B$24/12)</f>
        <v>17271.6361905319</v>
      </c>
      <c r="F124" s="31" t="n">
        <f aca="false">IF(A124="","",D124-E124)</f>
        <v>5240.18105132244</v>
      </c>
      <c r="G124" s="31" t="n">
        <f aca="false">IF(A124="","",MAX(0,C124-F124))</f>
        <v>2853513.39531258</v>
      </c>
      <c r="H124" s="32" t="n">
        <f aca="false">IF(A124="","",IF(Inputs!$B$35="5-4-3-2-1 step-down",MAX(0,6-ROUNDUP(A124/12,0))/100,IF(Inputs!$B$35="3-2-1 step-down",MAX(0,4-ROUNDUP(A124/12,0))/100,0)))</f>
        <v>0</v>
      </c>
      <c r="I124" s="31" t="n">
        <f aca="false">IF(A124="","",G124*(1+H124))</f>
        <v>2853513.39531258</v>
      </c>
    </row>
    <row r="125" customFormat="false" ht="15" hidden="false" customHeight="false" outlineLevel="0" collapsed="false">
      <c r="A125" s="33" t="n">
        <f aca="false">IF(120&gt;Sizing!$B$25,"",120)</f>
        <v>120</v>
      </c>
      <c r="B125" s="34" t="n">
        <f aca="false">IF(A125="","",EDATE(Inputs!$B$29,120-1))</f>
        <v>49980</v>
      </c>
      <c r="C125" s="35" t="n">
        <f aca="false">IF(A125="","",G124)</f>
        <v>2853513.39531258</v>
      </c>
      <c r="D125" s="35" t="n">
        <f aca="false">IF(A125="","",MIN(Sizing!$B$32,C125*(1+Sizing!$B$24/12)))</f>
        <v>22511.8172418543</v>
      </c>
      <c r="E125" s="35" t="n">
        <f aca="false">IF(A125="","",C125*Sizing!$B$24/12)</f>
        <v>17239.9767633468</v>
      </c>
      <c r="F125" s="35" t="n">
        <f aca="false">IF(A125="","",D125-E125)</f>
        <v>5271.84047850751</v>
      </c>
      <c r="G125" s="35" t="n">
        <f aca="false">IF(A125="","",MAX(0,C125-F125))</f>
        <v>2848241.55483407</v>
      </c>
      <c r="H125" s="36" t="n">
        <f aca="false">IF(A125="","",IF(Inputs!$B$35="5-4-3-2-1 step-down",MAX(0,6-ROUNDUP(A125/12,0))/100,IF(Inputs!$B$35="3-2-1 step-down",MAX(0,4-ROUNDUP(A125/12,0))/100,0)))</f>
        <v>0</v>
      </c>
      <c r="I125" s="35" t="n">
        <f aca="false">IF(A125="","",G125*(1+H125))</f>
        <v>2848241.55483407</v>
      </c>
    </row>
    <row r="126" customFormat="false" ht="15" hidden="false" customHeight="false" outlineLevel="0" collapsed="false">
      <c r="A126" s="29" t="n">
        <f aca="false">IF(121&gt;Sizing!$B$25,"",121)</f>
        <v>121</v>
      </c>
      <c r="B126" s="30" t="n">
        <f aca="false">IF(A126="","",EDATE(Inputs!$B$29,121-1))</f>
        <v>50010</v>
      </c>
      <c r="C126" s="31" t="n">
        <f aca="false">IF(A126="","",G125)</f>
        <v>2848241.55483407</v>
      </c>
      <c r="D126" s="31" t="n">
        <f aca="false">IF(A126="","",MIN(Sizing!$B$32,C126*(1+Sizing!$B$24/12)))</f>
        <v>22511.8172418543</v>
      </c>
      <c r="E126" s="31" t="n">
        <f aca="false">IF(A126="","",C126*Sizing!$B$24/12)</f>
        <v>17208.1260604558</v>
      </c>
      <c r="F126" s="31" t="n">
        <f aca="false">IF(A126="","",D126-E126)</f>
        <v>5303.69118139849</v>
      </c>
      <c r="G126" s="31" t="n">
        <f aca="false">IF(A126="","",MAX(0,C126-F126))</f>
        <v>2842937.86365267</v>
      </c>
      <c r="H126" s="32" t="n">
        <f aca="false">IF(A126="","",IF(Inputs!$B$35="5-4-3-2-1 step-down",MAX(0,6-ROUNDUP(A126/12,0))/100,IF(Inputs!$B$35="3-2-1 step-down",MAX(0,4-ROUNDUP(A126/12,0))/100,0)))</f>
        <v>0</v>
      </c>
      <c r="I126" s="31" t="n">
        <f aca="false">IF(A126="","",G126*(1+H126))</f>
        <v>2842937.86365267</v>
      </c>
    </row>
    <row r="127" customFormat="false" ht="15" hidden="false" customHeight="false" outlineLevel="0" collapsed="false">
      <c r="A127" s="33" t="n">
        <f aca="false">IF(122&gt;Sizing!$B$25,"",122)</f>
        <v>122</v>
      </c>
      <c r="B127" s="34" t="n">
        <f aca="false">IF(A127="","",EDATE(Inputs!$B$29,122-1))</f>
        <v>50041</v>
      </c>
      <c r="C127" s="35" t="n">
        <f aca="false">IF(A127="","",G126)</f>
        <v>2842937.86365267</v>
      </c>
      <c r="D127" s="35" t="n">
        <f aca="false">IF(A127="","",MIN(Sizing!$B$32,C127*(1+Sizing!$B$24/12)))</f>
        <v>22511.8172418543</v>
      </c>
      <c r="E127" s="35" t="n">
        <f aca="false">IF(A127="","",C127*Sizing!$B$24/12)</f>
        <v>17176.0829262349</v>
      </c>
      <c r="F127" s="35" t="n">
        <f aca="false">IF(A127="","",D127-E127)</f>
        <v>5335.73431561944</v>
      </c>
      <c r="G127" s="35" t="n">
        <f aca="false">IF(A127="","",MAX(0,C127-F127))</f>
        <v>2837602.12933705</v>
      </c>
      <c r="H127" s="36" t="n">
        <f aca="false">IF(A127="","",IF(Inputs!$B$35="5-4-3-2-1 step-down",MAX(0,6-ROUNDUP(A127/12,0))/100,IF(Inputs!$B$35="3-2-1 step-down",MAX(0,4-ROUNDUP(A127/12,0))/100,0)))</f>
        <v>0</v>
      </c>
      <c r="I127" s="35" t="n">
        <f aca="false">IF(A127="","",G127*(1+H127))</f>
        <v>2837602.12933705</v>
      </c>
    </row>
    <row r="128" customFormat="false" ht="15" hidden="false" customHeight="false" outlineLevel="0" collapsed="false">
      <c r="A128" s="29" t="n">
        <f aca="false">IF(123&gt;Sizing!$B$25,"",123)</f>
        <v>123</v>
      </c>
      <c r="B128" s="30" t="n">
        <f aca="false">IF(A128="","",EDATE(Inputs!$B$29,123-1))</f>
        <v>50072</v>
      </c>
      <c r="C128" s="31" t="n">
        <f aca="false">IF(A128="","",G127)</f>
        <v>2837602.12933705</v>
      </c>
      <c r="D128" s="31" t="n">
        <f aca="false">IF(A128="","",MIN(Sizing!$B$32,C128*(1+Sizing!$B$24/12)))</f>
        <v>22511.8172418543</v>
      </c>
      <c r="E128" s="31" t="n">
        <f aca="false">IF(A128="","",C128*Sizing!$B$24/12)</f>
        <v>17143.846198078</v>
      </c>
      <c r="F128" s="31" t="n">
        <f aca="false">IF(A128="","",D128-E128)</f>
        <v>5367.97104377631</v>
      </c>
      <c r="G128" s="31" t="n">
        <f aca="false">IF(A128="","",MAX(0,C128-F128))</f>
        <v>2832234.15829328</v>
      </c>
      <c r="H128" s="32" t="n">
        <f aca="false">IF(A128="","",IF(Inputs!$B$35="5-4-3-2-1 step-down",MAX(0,6-ROUNDUP(A128/12,0))/100,IF(Inputs!$B$35="3-2-1 step-down",MAX(0,4-ROUNDUP(A128/12,0))/100,0)))</f>
        <v>0</v>
      </c>
      <c r="I128" s="31" t="n">
        <f aca="false">IF(A128="","",G128*(1+H128))</f>
        <v>2832234.15829328</v>
      </c>
    </row>
    <row r="129" customFormat="false" ht="15" hidden="false" customHeight="false" outlineLevel="0" collapsed="false">
      <c r="A129" s="33" t="n">
        <f aca="false">IF(124&gt;Sizing!$B$25,"",124)</f>
        <v>124</v>
      </c>
      <c r="B129" s="34" t="n">
        <f aca="false">IF(A129="","",EDATE(Inputs!$B$29,124-1))</f>
        <v>50100</v>
      </c>
      <c r="C129" s="35" t="n">
        <f aca="false">IF(A129="","",G128)</f>
        <v>2832234.15829328</v>
      </c>
      <c r="D129" s="35" t="n">
        <f aca="false">IF(A129="","",MIN(Sizing!$B$32,C129*(1+Sizing!$B$24/12)))</f>
        <v>22511.8172418543</v>
      </c>
      <c r="E129" s="35" t="n">
        <f aca="false">IF(A129="","",C129*Sizing!$B$24/12)</f>
        <v>17111.4147063552</v>
      </c>
      <c r="F129" s="35" t="n">
        <f aca="false">IF(A129="","",D129-E129)</f>
        <v>5400.40253549912</v>
      </c>
      <c r="G129" s="35" t="n">
        <f aca="false">IF(A129="","",MAX(0,C129-F129))</f>
        <v>2826833.75575778</v>
      </c>
      <c r="H129" s="36" t="n">
        <f aca="false">IF(A129="","",IF(Inputs!$B$35="5-4-3-2-1 step-down",MAX(0,6-ROUNDUP(A129/12,0))/100,IF(Inputs!$B$35="3-2-1 step-down",MAX(0,4-ROUNDUP(A129/12,0))/100,0)))</f>
        <v>0</v>
      </c>
      <c r="I129" s="35" t="n">
        <f aca="false">IF(A129="","",G129*(1+H129))</f>
        <v>2826833.75575778</v>
      </c>
    </row>
    <row r="130" customFormat="false" ht="15" hidden="false" customHeight="false" outlineLevel="0" collapsed="false">
      <c r="A130" s="29" t="n">
        <f aca="false">IF(125&gt;Sizing!$B$25,"",125)</f>
        <v>125</v>
      </c>
      <c r="B130" s="30" t="n">
        <f aca="false">IF(A130="","",EDATE(Inputs!$B$29,125-1))</f>
        <v>50131</v>
      </c>
      <c r="C130" s="31" t="n">
        <f aca="false">IF(A130="","",G129)</f>
        <v>2826833.75575778</v>
      </c>
      <c r="D130" s="31" t="n">
        <f aca="false">IF(A130="","",MIN(Sizing!$B$32,C130*(1+Sizing!$B$24/12)))</f>
        <v>22511.8172418543</v>
      </c>
      <c r="E130" s="31" t="n">
        <f aca="false">IF(A130="","",C130*Sizing!$B$24/12)</f>
        <v>17078.7872743699</v>
      </c>
      <c r="F130" s="31" t="n">
        <f aca="false">IF(A130="","",D130-E130)</f>
        <v>5433.02996748443</v>
      </c>
      <c r="G130" s="31" t="n">
        <f aca="false">IF(A130="","",MAX(0,C130-F130))</f>
        <v>2821400.72579029</v>
      </c>
      <c r="H130" s="32" t="n">
        <f aca="false">IF(A130="","",IF(Inputs!$B$35="5-4-3-2-1 step-down",MAX(0,6-ROUNDUP(A130/12,0))/100,IF(Inputs!$B$35="3-2-1 step-down",MAX(0,4-ROUNDUP(A130/12,0))/100,0)))</f>
        <v>0</v>
      </c>
      <c r="I130" s="31" t="n">
        <f aca="false">IF(A130="","",G130*(1+H130))</f>
        <v>2821400.72579029</v>
      </c>
    </row>
    <row r="131" customFormat="false" ht="15" hidden="false" customHeight="false" outlineLevel="0" collapsed="false">
      <c r="A131" s="33" t="n">
        <f aca="false">IF(126&gt;Sizing!$B$25,"",126)</f>
        <v>126</v>
      </c>
      <c r="B131" s="34" t="n">
        <f aca="false">IF(A131="","",EDATE(Inputs!$B$29,126-1))</f>
        <v>50161</v>
      </c>
      <c r="C131" s="35" t="n">
        <f aca="false">IF(A131="","",G130)</f>
        <v>2821400.72579029</v>
      </c>
      <c r="D131" s="35" t="n">
        <f aca="false">IF(A131="","",MIN(Sizing!$B$32,C131*(1+Sizing!$B$24/12)))</f>
        <v>22511.8172418543</v>
      </c>
      <c r="E131" s="35" t="n">
        <f aca="false">IF(A131="","",C131*Sizing!$B$24/12)</f>
        <v>17045.9627183164</v>
      </c>
      <c r="F131" s="35" t="n">
        <f aca="false">IF(A131="","",D131-E131)</f>
        <v>5465.85452353798</v>
      </c>
      <c r="G131" s="35" t="n">
        <f aca="false">IF(A131="","",MAX(0,C131-F131))</f>
        <v>2815934.87126676</v>
      </c>
      <c r="H131" s="36" t="n">
        <f aca="false">IF(A131="","",IF(Inputs!$B$35="5-4-3-2-1 step-down",MAX(0,6-ROUNDUP(A131/12,0))/100,IF(Inputs!$B$35="3-2-1 step-down",MAX(0,4-ROUNDUP(A131/12,0))/100,0)))</f>
        <v>0</v>
      </c>
      <c r="I131" s="35" t="n">
        <f aca="false">IF(A131="","",G131*(1+H131))</f>
        <v>2815934.87126676</v>
      </c>
    </row>
    <row r="132" customFormat="false" ht="15" hidden="false" customHeight="false" outlineLevel="0" collapsed="false">
      <c r="A132" s="29" t="n">
        <f aca="false">IF(127&gt;Sizing!$B$25,"",127)</f>
        <v>127</v>
      </c>
      <c r="B132" s="30" t="n">
        <f aca="false">IF(A132="","",EDATE(Inputs!$B$29,127-1))</f>
        <v>50192</v>
      </c>
      <c r="C132" s="31" t="n">
        <f aca="false">IF(A132="","",G131)</f>
        <v>2815934.87126676</v>
      </c>
      <c r="D132" s="31" t="n">
        <f aca="false">IF(A132="","",MIN(Sizing!$B$32,C132*(1+Sizing!$B$24/12)))</f>
        <v>22511.8172418543</v>
      </c>
      <c r="E132" s="31" t="n">
        <f aca="false">IF(A132="","",C132*Sizing!$B$24/12)</f>
        <v>17012.9398472366</v>
      </c>
      <c r="F132" s="31" t="n">
        <f aca="false">IF(A132="","",D132-E132)</f>
        <v>5498.87739461769</v>
      </c>
      <c r="G132" s="31" t="n">
        <f aca="false">IF(A132="","",MAX(0,C132-F132))</f>
        <v>2810435.99387214</v>
      </c>
      <c r="H132" s="32" t="n">
        <f aca="false">IF(A132="","",IF(Inputs!$B$35="5-4-3-2-1 step-down",MAX(0,6-ROUNDUP(A132/12,0))/100,IF(Inputs!$B$35="3-2-1 step-down",MAX(0,4-ROUNDUP(A132/12,0))/100,0)))</f>
        <v>0</v>
      </c>
      <c r="I132" s="31" t="n">
        <f aca="false">IF(A132="","",G132*(1+H132))</f>
        <v>2810435.99387214</v>
      </c>
    </row>
    <row r="133" customFormat="false" ht="15" hidden="false" customHeight="false" outlineLevel="0" collapsed="false">
      <c r="A133" s="33" t="n">
        <f aca="false">IF(128&gt;Sizing!$B$25,"",128)</f>
        <v>128</v>
      </c>
      <c r="B133" s="34" t="n">
        <f aca="false">IF(A133="","",EDATE(Inputs!$B$29,128-1))</f>
        <v>50222</v>
      </c>
      <c r="C133" s="35" t="n">
        <f aca="false">IF(A133="","",G132)</f>
        <v>2810435.99387214</v>
      </c>
      <c r="D133" s="35" t="n">
        <f aca="false">IF(A133="","",MIN(Sizing!$B$32,C133*(1+Sizing!$B$24/12)))</f>
        <v>22511.8172418543</v>
      </c>
      <c r="E133" s="35" t="n">
        <f aca="false">IF(A133="","",C133*Sizing!$B$24/12)</f>
        <v>16979.7174629775</v>
      </c>
      <c r="F133" s="35" t="n">
        <f aca="false">IF(A133="","",D133-E133)</f>
        <v>5532.09977887684</v>
      </c>
      <c r="G133" s="35" t="n">
        <f aca="false">IF(A133="","",MAX(0,C133-F133))</f>
        <v>2804903.89409326</v>
      </c>
      <c r="H133" s="36" t="n">
        <f aca="false">IF(A133="","",IF(Inputs!$B$35="5-4-3-2-1 step-down",MAX(0,6-ROUNDUP(A133/12,0))/100,IF(Inputs!$B$35="3-2-1 step-down",MAX(0,4-ROUNDUP(A133/12,0))/100,0)))</f>
        <v>0</v>
      </c>
      <c r="I133" s="35" t="n">
        <f aca="false">IF(A133="","",G133*(1+H133))</f>
        <v>2804903.89409326</v>
      </c>
    </row>
    <row r="134" customFormat="false" ht="15" hidden="false" customHeight="false" outlineLevel="0" collapsed="false">
      <c r="A134" s="29" t="n">
        <f aca="false">IF(129&gt;Sizing!$B$25,"",129)</f>
        <v>129</v>
      </c>
      <c r="B134" s="30" t="n">
        <f aca="false">IF(A134="","",EDATE(Inputs!$B$29,129-1))</f>
        <v>50253</v>
      </c>
      <c r="C134" s="31" t="n">
        <f aca="false">IF(A134="","",G133)</f>
        <v>2804903.89409326</v>
      </c>
      <c r="D134" s="31" t="n">
        <f aca="false">IF(A134="","",MIN(Sizing!$B$32,C134*(1+Sizing!$B$24/12)))</f>
        <v>22511.8172418543</v>
      </c>
      <c r="E134" s="31" t="n">
        <f aca="false">IF(A134="","",C134*Sizing!$B$24/12)</f>
        <v>16946.2943601468</v>
      </c>
      <c r="F134" s="31" t="n">
        <f aca="false">IF(A134="","",D134-E134)</f>
        <v>5565.52288170755</v>
      </c>
      <c r="G134" s="31" t="n">
        <f aca="false">IF(A134="","",MAX(0,C134-F134))</f>
        <v>2799338.37121155</v>
      </c>
      <c r="H134" s="32" t="n">
        <f aca="false">IF(A134="","",IF(Inputs!$B$35="5-4-3-2-1 step-down",MAX(0,6-ROUNDUP(A134/12,0))/100,IF(Inputs!$B$35="3-2-1 step-down",MAX(0,4-ROUNDUP(A134/12,0))/100,0)))</f>
        <v>0</v>
      </c>
      <c r="I134" s="31" t="n">
        <f aca="false">IF(A134="","",G134*(1+H134))</f>
        <v>2799338.37121155</v>
      </c>
    </row>
    <row r="135" customFormat="false" ht="15" hidden="false" customHeight="false" outlineLevel="0" collapsed="false">
      <c r="A135" s="33" t="n">
        <f aca="false">IF(130&gt;Sizing!$B$25,"",130)</f>
        <v>130</v>
      </c>
      <c r="B135" s="34" t="n">
        <f aca="false">IF(A135="","",EDATE(Inputs!$B$29,130-1))</f>
        <v>50284</v>
      </c>
      <c r="C135" s="35" t="n">
        <f aca="false">IF(A135="","",G134)</f>
        <v>2799338.37121155</v>
      </c>
      <c r="D135" s="35" t="n">
        <f aca="false">IF(A135="","",MIN(Sizing!$B$32,C135*(1+Sizing!$B$24/12)))</f>
        <v>22511.8172418543</v>
      </c>
      <c r="E135" s="35" t="n">
        <f aca="false">IF(A135="","",C135*Sizing!$B$24/12)</f>
        <v>16912.6693260698</v>
      </c>
      <c r="F135" s="35" t="n">
        <f aca="false">IF(A135="","",D135-E135)</f>
        <v>5599.14791578454</v>
      </c>
      <c r="G135" s="35" t="n">
        <f aca="false">IF(A135="","",MAX(0,C135-F135))</f>
        <v>2793739.22329577</v>
      </c>
      <c r="H135" s="36" t="n">
        <f aca="false">IF(A135="","",IF(Inputs!$B$35="5-4-3-2-1 step-down",MAX(0,6-ROUNDUP(A135/12,0))/100,IF(Inputs!$B$35="3-2-1 step-down",MAX(0,4-ROUNDUP(A135/12,0))/100,0)))</f>
        <v>0</v>
      </c>
      <c r="I135" s="35" t="n">
        <f aca="false">IF(A135="","",G135*(1+H135))</f>
        <v>2793739.22329577</v>
      </c>
    </row>
    <row r="136" customFormat="false" ht="15" hidden="false" customHeight="false" outlineLevel="0" collapsed="false">
      <c r="A136" s="29" t="n">
        <f aca="false">IF(131&gt;Sizing!$B$25,"",131)</f>
        <v>131</v>
      </c>
      <c r="B136" s="30" t="n">
        <f aca="false">IF(A136="","",EDATE(Inputs!$B$29,131-1))</f>
        <v>50314</v>
      </c>
      <c r="C136" s="31" t="n">
        <f aca="false">IF(A136="","",G135)</f>
        <v>2793739.22329577</v>
      </c>
      <c r="D136" s="31" t="n">
        <f aca="false">IF(A136="","",MIN(Sizing!$B$32,C136*(1+Sizing!$B$24/12)))</f>
        <v>22511.8172418543</v>
      </c>
      <c r="E136" s="31" t="n">
        <f aca="false">IF(A136="","",C136*Sizing!$B$24/12)</f>
        <v>16878.8411407453</v>
      </c>
      <c r="F136" s="31" t="n">
        <f aca="false">IF(A136="","",D136-E136)</f>
        <v>5632.97610110907</v>
      </c>
      <c r="G136" s="31" t="n">
        <f aca="false">IF(A136="","",MAX(0,C136-F136))</f>
        <v>2788106.24719466</v>
      </c>
      <c r="H136" s="32" t="n">
        <f aca="false">IF(A136="","",IF(Inputs!$B$35="5-4-3-2-1 step-down",MAX(0,6-ROUNDUP(A136/12,0))/100,IF(Inputs!$B$35="3-2-1 step-down",MAX(0,4-ROUNDUP(A136/12,0))/100,0)))</f>
        <v>0</v>
      </c>
      <c r="I136" s="31" t="n">
        <f aca="false">IF(A136="","",G136*(1+H136))</f>
        <v>2788106.24719466</v>
      </c>
    </row>
    <row r="137" customFormat="false" ht="15" hidden="false" customHeight="false" outlineLevel="0" collapsed="false">
      <c r="A137" s="33" t="n">
        <f aca="false">IF(132&gt;Sizing!$B$25,"",132)</f>
        <v>132</v>
      </c>
      <c r="B137" s="34" t="n">
        <f aca="false">IF(A137="","",EDATE(Inputs!$B$29,132-1))</f>
        <v>50345</v>
      </c>
      <c r="C137" s="35" t="n">
        <f aca="false">IF(A137="","",G136)</f>
        <v>2788106.24719466</v>
      </c>
      <c r="D137" s="35" t="n">
        <f aca="false">IF(A137="","",MIN(Sizing!$B$32,C137*(1+Sizing!$B$24/12)))</f>
        <v>22511.8172418543</v>
      </c>
      <c r="E137" s="35" t="n">
        <f aca="false">IF(A137="","",C137*Sizing!$B$24/12)</f>
        <v>16844.8085768011</v>
      </c>
      <c r="F137" s="35" t="n">
        <f aca="false">IF(A137="","",D137-E137)</f>
        <v>5667.00866505327</v>
      </c>
      <c r="G137" s="35" t="n">
        <f aca="false">IF(A137="","",MAX(0,C137-F137))</f>
        <v>2782439.23852961</v>
      </c>
      <c r="H137" s="36" t="n">
        <f aca="false">IF(A137="","",IF(Inputs!$B$35="5-4-3-2-1 step-down",MAX(0,6-ROUNDUP(A137/12,0))/100,IF(Inputs!$B$35="3-2-1 step-down",MAX(0,4-ROUNDUP(A137/12,0))/100,0)))</f>
        <v>0</v>
      </c>
      <c r="I137" s="35" t="n">
        <f aca="false">IF(A137="","",G137*(1+H137))</f>
        <v>2782439.23852961</v>
      </c>
    </row>
    <row r="138" customFormat="false" ht="15" hidden="false" customHeight="false" outlineLevel="0" collapsed="false">
      <c r="A138" s="29" t="n">
        <f aca="false">IF(133&gt;Sizing!$B$25,"",133)</f>
        <v>133</v>
      </c>
      <c r="B138" s="30" t="n">
        <f aca="false">IF(A138="","",EDATE(Inputs!$B$29,133-1))</f>
        <v>50375</v>
      </c>
      <c r="C138" s="31" t="n">
        <f aca="false">IF(A138="","",G137)</f>
        <v>2782439.23852961</v>
      </c>
      <c r="D138" s="31" t="n">
        <f aca="false">IF(A138="","",MIN(Sizing!$B$32,C138*(1+Sizing!$B$24/12)))</f>
        <v>22511.8172418543</v>
      </c>
      <c r="E138" s="31" t="n">
        <f aca="false">IF(A138="","",C138*Sizing!$B$24/12)</f>
        <v>16810.5703994497</v>
      </c>
      <c r="F138" s="31" t="n">
        <f aca="false">IF(A138="","",D138-E138)</f>
        <v>5701.24684240463</v>
      </c>
      <c r="G138" s="31" t="n">
        <f aca="false">IF(A138="","",MAX(0,C138-F138))</f>
        <v>2776737.9916872</v>
      </c>
      <c r="H138" s="32" t="n">
        <f aca="false">IF(A138="","",IF(Inputs!$B$35="5-4-3-2-1 step-down",MAX(0,6-ROUNDUP(A138/12,0))/100,IF(Inputs!$B$35="3-2-1 step-down",MAX(0,4-ROUNDUP(A138/12,0))/100,0)))</f>
        <v>0</v>
      </c>
      <c r="I138" s="31" t="n">
        <f aca="false">IF(A138="","",G138*(1+H138))</f>
        <v>2776737.9916872</v>
      </c>
    </row>
    <row r="139" customFormat="false" ht="15" hidden="false" customHeight="false" outlineLevel="0" collapsed="false">
      <c r="A139" s="33" t="n">
        <f aca="false">IF(134&gt;Sizing!$B$25,"",134)</f>
        <v>134</v>
      </c>
      <c r="B139" s="34" t="n">
        <f aca="false">IF(A139="","",EDATE(Inputs!$B$29,134-1))</f>
        <v>50406</v>
      </c>
      <c r="C139" s="35" t="n">
        <f aca="false">IF(A139="","",G138)</f>
        <v>2776737.9916872</v>
      </c>
      <c r="D139" s="35" t="n">
        <f aca="false">IF(A139="","",MIN(Sizing!$B$32,C139*(1+Sizing!$B$24/12)))</f>
        <v>22511.8172418543</v>
      </c>
      <c r="E139" s="35" t="n">
        <f aca="false">IF(A139="","",C139*Sizing!$B$24/12)</f>
        <v>16776.1253664435</v>
      </c>
      <c r="F139" s="35" t="n">
        <f aca="false">IF(A139="","",D139-E139)</f>
        <v>5735.69187541083</v>
      </c>
      <c r="G139" s="35" t="n">
        <f aca="false">IF(A139="","",MAX(0,C139-F139))</f>
        <v>2771002.29981179</v>
      </c>
      <c r="H139" s="36" t="n">
        <f aca="false">IF(A139="","",IF(Inputs!$B$35="5-4-3-2-1 step-down",MAX(0,6-ROUNDUP(A139/12,0))/100,IF(Inputs!$B$35="3-2-1 step-down",MAX(0,4-ROUNDUP(A139/12,0))/100,0)))</f>
        <v>0</v>
      </c>
      <c r="I139" s="35" t="n">
        <f aca="false">IF(A139="","",G139*(1+H139))</f>
        <v>2771002.29981179</v>
      </c>
    </row>
    <row r="140" customFormat="false" ht="15" hidden="false" customHeight="false" outlineLevel="0" collapsed="false">
      <c r="A140" s="29" t="n">
        <f aca="false">IF(135&gt;Sizing!$B$25,"",135)</f>
        <v>135</v>
      </c>
      <c r="B140" s="30" t="n">
        <f aca="false">IF(A140="","",EDATE(Inputs!$B$29,135-1))</f>
        <v>50437</v>
      </c>
      <c r="C140" s="31" t="n">
        <f aca="false">IF(A140="","",G139)</f>
        <v>2771002.29981179</v>
      </c>
      <c r="D140" s="31" t="n">
        <f aca="false">IF(A140="","",MIN(Sizing!$B$32,C140*(1+Sizing!$B$24/12)))</f>
        <v>22511.8172418543</v>
      </c>
      <c r="E140" s="31" t="n">
        <f aca="false">IF(A140="","",C140*Sizing!$B$24/12)</f>
        <v>16741.4722280296</v>
      </c>
      <c r="F140" s="31" t="n">
        <f aca="false">IF(A140="","",D140-E140)</f>
        <v>5770.34501382477</v>
      </c>
      <c r="G140" s="31" t="n">
        <f aca="false">IF(A140="","",MAX(0,C140-F140))</f>
        <v>2765231.95479797</v>
      </c>
      <c r="H140" s="32" t="n">
        <f aca="false">IF(A140="","",IF(Inputs!$B$35="5-4-3-2-1 step-down",MAX(0,6-ROUNDUP(A140/12,0))/100,IF(Inputs!$B$35="3-2-1 step-down",MAX(0,4-ROUNDUP(A140/12,0))/100,0)))</f>
        <v>0</v>
      </c>
      <c r="I140" s="31" t="n">
        <f aca="false">IF(A140="","",G140*(1+H140))</f>
        <v>2765231.95479797</v>
      </c>
    </row>
    <row r="141" customFormat="false" ht="15" hidden="false" customHeight="false" outlineLevel="0" collapsed="false">
      <c r="A141" s="33" t="n">
        <f aca="false">IF(136&gt;Sizing!$B$25,"",136)</f>
        <v>136</v>
      </c>
      <c r="B141" s="34" t="n">
        <f aca="false">IF(A141="","",EDATE(Inputs!$B$29,136-1))</f>
        <v>50465</v>
      </c>
      <c r="C141" s="35" t="n">
        <f aca="false">IF(A141="","",G140)</f>
        <v>2765231.95479797</v>
      </c>
      <c r="D141" s="35" t="n">
        <f aca="false">IF(A141="","",MIN(Sizing!$B$32,C141*(1+Sizing!$B$24/12)))</f>
        <v>22511.8172418543</v>
      </c>
      <c r="E141" s="35" t="n">
        <f aca="false">IF(A141="","",C141*Sizing!$B$24/12)</f>
        <v>16706.6097269044</v>
      </c>
      <c r="F141" s="35" t="n">
        <f aca="false">IF(A141="","",D141-E141)</f>
        <v>5805.20751494996</v>
      </c>
      <c r="G141" s="35" t="n">
        <f aca="false">IF(A141="","",MAX(0,C141-F141))</f>
        <v>2759426.74728302</v>
      </c>
      <c r="H141" s="36" t="n">
        <f aca="false">IF(A141="","",IF(Inputs!$B$35="5-4-3-2-1 step-down",MAX(0,6-ROUNDUP(A141/12,0))/100,IF(Inputs!$B$35="3-2-1 step-down",MAX(0,4-ROUNDUP(A141/12,0))/100,0)))</f>
        <v>0</v>
      </c>
      <c r="I141" s="35" t="n">
        <f aca="false">IF(A141="","",G141*(1+H141))</f>
        <v>2759426.74728302</v>
      </c>
    </row>
    <row r="142" customFormat="false" ht="15" hidden="false" customHeight="false" outlineLevel="0" collapsed="false">
      <c r="A142" s="29" t="n">
        <f aca="false">IF(137&gt;Sizing!$B$25,"",137)</f>
        <v>137</v>
      </c>
      <c r="B142" s="30" t="n">
        <f aca="false">IF(A142="","",EDATE(Inputs!$B$29,137-1))</f>
        <v>50496</v>
      </c>
      <c r="C142" s="31" t="n">
        <f aca="false">IF(A142="","",G141)</f>
        <v>2759426.74728302</v>
      </c>
      <c r="D142" s="31" t="n">
        <f aca="false">IF(A142="","",MIN(Sizing!$B$32,C142*(1+Sizing!$B$24/12)))</f>
        <v>22511.8172418543</v>
      </c>
      <c r="E142" s="31" t="n">
        <f aca="false">IF(A142="","",C142*Sizing!$B$24/12)</f>
        <v>16671.5365981682</v>
      </c>
      <c r="F142" s="31" t="n">
        <f aca="false">IF(A142="","",D142-E142)</f>
        <v>5840.28064368612</v>
      </c>
      <c r="G142" s="31" t="n">
        <f aca="false">IF(A142="","",MAX(0,C142-F142))</f>
        <v>2753586.46663933</v>
      </c>
      <c r="H142" s="32" t="n">
        <f aca="false">IF(A142="","",IF(Inputs!$B$35="5-4-3-2-1 step-down",MAX(0,6-ROUNDUP(A142/12,0))/100,IF(Inputs!$B$35="3-2-1 step-down",MAX(0,4-ROUNDUP(A142/12,0))/100,0)))</f>
        <v>0</v>
      </c>
      <c r="I142" s="31" t="n">
        <f aca="false">IF(A142="","",G142*(1+H142))</f>
        <v>2753586.46663933</v>
      </c>
    </row>
    <row r="143" customFormat="false" ht="15" hidden="false" customHeight="false" outlineLevel="0" collapsed="false">
      <c r="A143" s="33" t="n">
        <f aca="false">IF(138&gt;Sizing!$B$25,"",138)</f>
        <v>138</v>
      </c>
      <c r="B143" s="34" t="n">
        <f aca="false">IF(A143="","",EDATE(Inputs!$B$29,138-1))</f>
        <v>50526</v>
      </c>
      <c r="C143" s="35" t="n">
        <f aca="false">IF(A143="","",G142)</f>
        <v>2753586.46663933</v>
      </c>
      <c r="D143" s="35" t="n">
        <f aca="false">IF(A143="","",MIN(Sizing!$B$32,C143*(1+Sizing!$B$24/12)))</f>
        <v>22511.8172418543</v>
      </c>
      <c r="E143" s="35" t="n">
        <f aca="false">IF(A143="","",C143*Sizing!$B$24/12)</f>
        <v>16636.2515692793</v>
      </c>
      <c r="F143" s="35" t="n">
        <f aca="false">IF(A143="","",D143-E143)</f>
        <v>5875.56567257505</v>
      </c>
      <c r="G143" s="35" t="n">
        <f aca="false">IF(A143="","",MAX(0,C143-F143))</f>
        <v>2747710.90096675</v>
      </c>
      <c r="H143" s="36" t="n">
        <f aca="false">IF(A143="","",IF(Inputs!$B$35="5-4-3-2-1 step-down",MAX(0,6-ROUNDUP(A143/12,0))/100,IF(Inputs!$B$35="3-2-1 step-down",MAX(0,4-ROUNDUP(A143/12,0))/100,0)))</f>
        <v>0</v>
      </c>
      <c r="I143" s="35" t="n">
        <f aca="false">IF(A143="","",G143*(1+H143))</f>
        <v>2747710.90096675</v>
      </c>
    </row>
    <row r="144" customFormat="false" ht="15" hidden="false" customHeight="false" outlineLevel="0" collapsed="false">
      <c r="A144" s="29" t="n">
        <f aca="false">IF(139&gt;Sizing!$B$25,"",139)</f>
        <v>139</v>
      </c>
      <c r="B144" s="30" t="n">
        <f aca="false">IF(A144="","",EDATE(Inputs!$B$29,139-1))</f>
        <v>50557</v>
      </c>
      <c r="C144" s="31" t="n">
        <f aca="false">IF(A144="","",G143)</f>
        <v>2747710.90096675</v>
      </c>
      <c r="D144" s="31" t="n">
        <f aca="false">IF(A144="","",MIN(Sizing!$B$32,C144*(1+Sizing!$B$24/12)))</f>
        <v>22511.8172418543</v>
      </c>
      <c r="E144" s="31" t="n">
        <f aca="false">IF(A144="","",C144*Sizing!$B$24/12)</f>
        <v>16600.7533600075</v>
      </c>
      <c r="F144" s="31" t="n">
        <f aca="false">IF(A144="","",D144-E144)</f>
        <v>5911.06388184686</v>
      </c>
      <c r="G144" s="31" t="n">
        <f aca="false">IF(A144="","",MAX(0,C144-F144))</f>
        <v>2741799.83708491</v>
      </c>
      <c r="H144" s="32" t="n">
        <f aca="false">IF(A144="","",IF(Inputs!$B$35="5-4-3-2-1 step-down",MAX(0,6-ROUNDUP(A144/12,0))/100,IF(Inputs!$B$35="3-2-1 step-down",MAX(0,4-ROUNDUP(A144/12,0))/100,0)))</f>
        <v>0</v>
      </c>
      <c r="I144" s="31" t="n">
        <f aca="false">IF(A144="","",G144*(1+H144))</f>
        <v>2741799.83708491</v>
      </c>
    </row>
    <row r="145" customFormat="false" ht="15" hidden="false" customHeight="false" outlineLevel="0" collapsed="false">
      <c r="A145" s="33" t="n">
        <f aca="false">IF(140&gt;Sizing!$B$25,"",140)</f>
        <v>140</v>
      </c>
      <c r="B145" s="34" t="n">
        <f aca="false">IF(A145="","",EDATE(Inputs!$B$29,140-1))</f>
        <v>50587</v>
      </c>
      <c r="C145" s="35" t="n">
        <f aca="false">IF(A145="","",G144)</f>
        <v>2741799.83708491</v>
      </c>
      <c r="D145" s="35" t="n">
        <f aca="false">IF(A145="","",MIN(Sizing!$B$32,C145*(1+Sizing!$B$24/12)))</f>
        <v>22511.8172418543</v>
      </c>
      <c r="E145" s="35" t="n">
        <f aca="false">IF(A145="","",C145*Sizing!$B$24/12)</f>
        <v>16565.040682388</v>
      </c>
      <c r="F145" s="35" t="n">
        <f aca="false">IF(A145="","",D145-E145)</f>
        <v>5946.77655946635</v>
      </c>
      <c r="G145" s="35" t="n">
        <f aca="false">IF(A145="","",MAX(0,C145-F145))</f>
        <v>2735853.06052544</v>
      </c>
      <c r="H145" s="36" t="n">
        <f aca="false">IF(A145="","",IF(Inputs!$B$35="5-4-3-2-1 step-down",MAX(0,6-ROUNDUP(A145/12,0))/100,IF(Inputs!$B$35="3-2-1 step-down",MAX(0,4-ROUNDUP(A145/12,0))/100,0)))</f>
        <v>0</v>
      </c>
      <c r="I145" s="35" t="n">
        <f aca="false">IF(A145="","",G145*(1+H145))</f>
        <v>2735853.06052544</v>
      </c>
    </row>
    <row r="146" customFormat="false" ht="15" hidden="false" customHeight="false" outlineLevel="0" collapsed="false">
      <c r="A146" s="29" t="n">
        <f aca="false">IF(141&gt;Sizing!$B$25,"",141)</f>
        <v>141</v>
      </c>
      <c r="B146" s="30" t="n">
        <f aca="false">IF(A146="","",EDATE(Inputs!$B$29,141-1))</f>
        <v>50618</v>
      </c>
      <c r="C146" s="31" t="n">
        <f aca="false">IF(A146="","",G145)</f>
        <v>2735853.06052544</v>
      </c>
      <c r="D146" s="31" t="n">
        <f aca="false">IF(A146="","",MIN(Sizing!$B$32,C146*(1+Sizing!$B$24/12)))</f>
        <v>22511.8172418543</v>
      </c>
      <c r="E146" s="31" t="n">
        <f aca="false">IF(A146="","",C146*Sizing!$B$24/12)</f>
        <v>16529.1122406745</v>
      </c>
      <c r="F146" s="31" t="n">
        <f aca="false">IF(A146="","",D146-E146)</f>
        <v>5982.7050011798</v>
      </c>
      <c r="G146" s="31" t="n">
        <f aca="false">IF(A146="","",MAX(0,C146-F146))</f>
        <v>2729870.35552426</v>
      </c>
      <c r="H146" s="32" t="n">
        <f aca="false">IF(A146="","",IF(Inputs!$B$35="5-4-3-2-1 step-down",MAX(0,6-ROUNDUP(A146/12,0))/100,IF(Inputs!$B$35="3-2-1 step-down",MAX(0,4-ROUNDUP(A146/12,0))/100,0)))</f>
        <v>0</v>
      </c>
      <c r="I146" s="31" t="n">
        <f aca="false">IF(A146="","",G146*(1+H146))</f>
        <v>2729870.35552426</v>
      </c>
    </row>
    <row r="147" customFormat="false" ht="15" hidden="false" customHeight="false" outlineLevel="0" collapsed="false">
      <c r="A147" s="33" t="n">
        <f aca="false">IF(142&gt;Sizing!$B$25,"",142)</f>
        <v>142</v>
      </c>
      <c r="B147" s="34" t="n">
        <f aca="false">IF(A147="","",EDATE(Inputs!$B$29,142-1))</f>
        <v>50649</v>
      </c>
      <c r="C147" s="35" t="n">
        <f aca="false">IF(A147="","",G146)</f>
        <v>2729870.35552426</v>
      </c>
      <c r="D147" s="35" t="n">
        <f aca="false">IF(A147="","",MIN(Sizing!$B$32,C147*(1+Sizing!$B$24/12)))</f>
        <v>22511.8172418543</v>
      </c>
      <c r="E147" s="35" t="n">
        <f aca="false">IF(A147="","",C147*Sizing!$B$24/12)</f>
        <v>16492.9667312924</v>
      </c>
      <c r="F147" s="35" t="n">
        <f aca="false">IF(A147="","",D147-E147)</f>
        <v>6018.85051056192</v>
      </c>
      <c r="G147" s="35" t="n">
        <f aca="false">IF(A147="","",MAX(0,C147-F147))</f>
        <v>2723851.5050137</v>
      </c>
      <c r="H147" s="36" t="n">
        <f aca="false">IF(A147="","",IF(Inputs!$B$35="5-4-3-2-1 step-down",MAX(0,6-ROUNDUP(A147/12,0))/100,IF(Inputs!$B$35="3-2-1 step-down",MAX(0,4-ROUNDUP(A147/12,0))/100,0)))</f>
        <v>0</v>
      </c>
      <c r="I147" s="35" t="n">
        <f aca="false">IF(A147="","",G147*(1+H147))</f>
        <v>2723851.5050137</v>
      </c>
    </row>
    <row r="148" customFormat="false" ht="15" hidden="false" customHeight="false" outlineLevel="0" collapsed="false">
      <c r="A148" s="29" t="n">
        <f aca="false">IF(143&gt;Sizing!$B$25,"",143)</f>
        <v>143</v>
      </c>
      <c r="B148" s="30" t="n">
        <f aca="false">IF(A148="","",EDATE(Inputs!$B$29,143-1))</f>
        <v>50679</v>
      </c>
      <c r="C148" s="31" t="n">
        <f aca="false">IF(A148="","",G147)</f>
        <v>2723851.5050137</v>
      </c>
      <c r="D148" s="31" t="n">
        <f aca="false">IF(A148="","",MIN(Sizing!$B$32,C148*(1+Sizing!$B$24/12)))</f>
        <v>22511.8172418543</v>
      </c>
      <c r="E148" s="31" t="n">
        <f aca="false">IF(A148="","",C148*Sizing!$B$24/12)</f>
        <v>16456.6028427911</v>
      </c>
      <c r="F148" s="31" t="n">
        <f aca="false">IF(A148="","",D148-E148)</f>
        <v>6055.21439906324</v>
      </c>
      <c r="G148" s="31" t="n">
        <f aca="false">IF(A148="","",MAX(0,C148-F148))</f>
        <v>2717796.29061464</v>
      </c>
      <c r="H148" s="32" t="n">
        <f aca="false">IF(A148="","",IF(Inputs!$B$35="5-4-3-2-1 step-down",MAX(0,6-ROUNDUP(A148/12,0))/100,IF(Inputs!$B$35="3-2-1 step-down",MAX(0,4-ROUNDUP(A148/12,0))/100,0)))</f>
        <v>0</v>
      </c>
      <c r="I148" s="31" t="n">
        <f aca="false">IF(A148="","",G148*(1+H148))</f>
        <v>2717796.29061464</v>
      </c>
    </row>
    <row r="149" customFormat="false" ht="15" hidden="false" customHeight="false" outlineLevel="0" collapsed="false">
      <c r="A149" s="33" t="n">
        <f aca="false">IF(144&gt;Sizing!$B$25,"",144)</f>
        <v>144</v>
      </c>
      <c r="B149" s="34" t="n">
        <f aca="false">IF(A149="","",EDATE(Inputs!$B$29,144-1))</f>
        <v>50710</v>
      </c>
      <c r="C149" s="35" t="n">
        <f aca="false">IF(A149="","",G148)</f>
        <v>2717796.29061464</v>
      </c>
      <c r="D149" s="35" t="n">
        <f aca="false">IF(A149="","",MIN(Sizing!$B$32,C149*(1+Sizing!$B$24/12)))</f>
        <v>22511.8172418543</v>
      </c>
      <c r="E149" s="35" t="n">
        <f aca="false">IF(A149="","",C149*Sizing!$B$24/12)</f>
        <v>16420.0192557968</v>
      </c>
      <c r="F149" s="35" t="n">
        <f aca="false">IF(A149="","",D149-E149)</f>
        <v>6091.79798605758</v>
      </c>
      <c r="G149" s="35" t="n">
        <f aca="false">IF(A149="","",MAX(0,C149-F149))</f>
        <v>2711704.49262858</v>
      </c>
      <c r="H149" s="36" t="n">
        <f aca="false">IF(A149="","",IF(Inputs!$B$35="5-4-3-2-1 step-down",MAX(0,6-ROUNDUP(A149/12,0))/100,IF(Inputs!$B$35="3-2-1 step-down",MAX(0,4-ROUNDUP(A149/12,0))/100,0)))</f>
        <v>0</v>
      </c>
      <c r="I149" s="35" t="n">
        <f aca="false">IF(A149="","",G149*(1+H149))</f>
        <v>2711704.49262858</v>
      </c>
    </row>
    <row r="150" customFormat="false" ht="15" hidden="false" customHeight="false" outlineLevel="0" collapsed="false">
      <c r="A150" s="29" t="n">
        <f aca="false">IF(145&gt;Sizing!$B$25,"",145)</f>
        <v>145</v>
      </c>
      <c r="B150" s="30" t="n">
        <f aca="false">IF(A150="","",EDATE(Inputs!$B$29,145-1))</f>
        <v>50740</v>
      </c>
      <c r="C150" s="31" t="n">
        <f aca="false">IF(A150="","",G149)</f>
        <v>2711704.49262858</v>
      </c>
      <c r="D150" s="31" t="n">
        <f aca="false">IF(A150="","",MIN(Sizing!$B$32,C150*(1+Sizing!$B$24/12)))</f>
        <v>22511.8172418543</v>
      </c>
      <c r="E150" s="31" t="n">
        <f aca="false">IF(A150="","",C150*Sizing!$B$24/12)</f>
        <v>16383.2146429643</v>
      </c>
      <c r="F150" s="31" t="n">
        <f aca="false">IF(A150="","",D150-E150)</f>
        <v>6128.60259889001</v>
      </c>
      <c r="G150" s="31" t="n">
        <f aca="false">IF(A150="","",MAX(0,C150-F150))</f>
        <v>2705575.89002969</v>
      </c>
      <c r="H150" s="32" t="n">
        <f aca="false">IF(A150="","",IF(Inputs!$B$35="5-4-3-2-1 step-down",MAX(0,6-ROUNDUP(A150/12,0))/100,IF(Inputs!$B$35="3-2-1 step-down",MAX(0,4-ROUNDUP(A150/12,0))/100,0)))</f>
        <v>0</v>
      </c>
      <c r="I150" s="31" t="n">
        <f aca="false">IF(A150="","",G150*(1+H150))</f>
        <v>2705575.89002969</v>
      </c>
    </row>
    <row r="151" customFormat="false" ht="15" hidden="false" customHeight="false" outlineLevel="0" collapsed="false">
      <c r="A151" s="33" t="n">
        <f aca="false">IF(146&gt;Sizing!$B$25,"",146)</f>
        <v>146</v>
      </c>
      <c r="B151" s="34" t="n">
        <f aca="false">IF(A151="","",EDATE(Inputs!$B$29,146-1))</f>
        <v>50771</v>
      </c>
      <c r="C151" s="35" t="n">
        <f aca="false">IF(A151="","",G150)</f>
        <v>2705575.89002969</v>
      </c>
      <c r="D151" s="35" t="n">
        <f aca="false">IF(A151="","",MIN(Sizing!$B$32,C151*(1+Sizing!$B$24/12)))</f>
        <v>22511.8172418543</v>
      </c>
      <c r="E151" s="35" t="n">
        <f aca="false">IF(A151="","",C151*Sizing!$B$24/12)</f>
        <v>16346.1876689294</v>
      </c>
      <c r="F151" s="35" t="n">
        <f aca="false">IF(A151="","",D151-E151)</f>
        <v>6165.62957292497</v>
      </c>
      <c r="G151" s="35" t="n">
        <f aca="false">IF(A151="","",MAX(0,C151-F151))</f>
        <v>2699410.26045676</v>
      </c>
      <c r="H151" s="36" t="n">
        <f aca="false">IF(A151="","",IF(Inputs!$B$35="5-4-3-2-1 step-down",MAX(0,6-ROUNDUP(A151/12,0))/100,IF(Inputs!$B$35="3-2-1 step-down",MAX(0,4-ROUNDUP(A151/12,0))/100,0)))</f>
        <v>0</v>
      </c>
      <c r="I151" s="35" t="n">
        <f aca="false">IF(A151="","",G151*(1+H151))</f>
        <v>2699410.26045676</v>
      </c>
    </row>
    <row r="152" customFormat="false" ht="15" hidden="false" customHeight="false" outlineLevel="0" collapsed="false">
      <c r="A152" s="29" t="n">
        <f aca="false">IF(147&gt;Sizing!$B$25,"",147)</f>
        <v>147</v>
      </c>
      <c r="B152" s="30" t="n">
        <f aca="false">IF(A152="","",EDATE(Inputs!$B$29,147-1))</f>
        <v>50802</v>
      </c>
      <c r="C152" s="31" t="n">
        <f aca="false">IF(A152="","",G151)</f>
        <v>2699410.26045676</v>
      </c>
      <c r="D152" s="31" t="n">
        <f aca="false">IF(A152="","",MIN(Sizing!$B$32,C152*(1+Sizing!$B$24/12)))</f>
        <v>22511.8172418543</v>
      </c>
      <c r="E152" s="31" t="n">
        <f aca="false">IF(A152="","",C152*Sizing!$B$24/12)</f>
        <v>16308.9369902596</v>
      </c>
      <c r="F152" s="31" t="n">
        <f aca="false">IF(A152="","",D152-E152)</f>
        <v>6202.88025159472</v>
      </c>
      <c r="G152" s="31" t="n">
        <f aca="false">IF(A152="","",MAX(0,C152-F152))</f>
        <v>2693207.38020517</v>
      </c>
      <c r="H152" s="32" t="n">
        <f aca="false">IF(A152="","",IF(Inputs!$B$35="5-4-3-2-1 step-down",MAX(0,6-ROUNDUP(A152/12,0))/100,IF(Inputs!$B$35="3-2-1 step-down",MAX(0,4-ROUNDUP(A152/12,0))/100,0)))</f>
        <v>0</v>
      </c>
      <c r="I152" s="31" t="n">
        <f aca="false">IF(A152="","",G152*(1+H152))</f>
        <v>2693207.38020517</v>
      </c>
    </row>
    <row r="153" customFormat="false" ht="15" hidden="false" customHeight="false" outlineLevel="0" collapsed="false">
      <c r="A153" s="33" t="n">
        <f aca="false">IF(148&gt;Sizing!$B$25,"",148)</f>
        <v>148</v>
      </c>
      <c r="B153" s="34" t="n">
        <f aca="false">IF(A153="","",EDATE(Inputs!$B$29,148-1))</f>
        <v>50830</v>
      </c>
      <c r="C153" s="35" t="n">
        <f aca="false">IF(A153="","",G152)</f>
        <v>2693207.38020517</v>
      </c>
      <c r="D153" s="35" t="n">
        <f aca="false">IF(A153="","",MIN(Sizing!$B$32,C153*(1+Sizing!$B$24/12)))</f>
        <v>22511.8172418543</v>
      </c>
      <c r="E153" s="35" t="n">
        <f aca="false">IF(A153="","",C153*Sizing!$B$24/12)</f>
        <v>16271.4612554062</v>
      </c>
      <c r="F153" s="35" t="n">
        <f aca="false">IF(A153="","",D153-E153)</f>
        <v>6240.35598644811</v>
      </c>
      <c r="G153" s="35" t="n">
        <f aca="false">IF(A153="","",MAX(0,C153-F153))</f>
        <v>2686967.02421872</v>
      </c>
      <c r="H153" s="36" t="n">
        <f aca="false">IF(A153="","",IF(Inputs!$B$35="5-4-3-2-1 step-down",MAX(0,6-ROUNDUP(A153/12,0))/100,IF(Inputs!$B$35="3-2-1 step-down",MAX(0,4-ROUNDUP(A153/12,0))/100,0)))</f>
        <v>0</v>
      </c>
      <c r="I153" s="35" t="n">
        <f aca="false">IF(A153="","",G153*(1+H153))</f>
        <v>2686967.02421872</v>
      </c>
    </row>
    <row r="154" customFormat="false" ht="15" hidden="false" customHeight="false" outlineLevel="0" collapsed="false">
      <c r="A154" s="29" t="n">
        <f aca="false">IF(149&gt;Sizing!$B$25,"",149)</f>
        <v>149</v>
      </c>
      <c r="B154" s="30" t="n">
        <f aca="false">IF(A154="","",EDATE(Inputs!$B$29,149-1))</f>
        <v>50861</v>
      </c>
      <c r="C154" s="31" t="n">
        <f aca="false">IF(A154="","",G153)</f>
        <v>2686967.02421872</v>
      </c>
      <c r="D154" s="31" t="n">
        <f aca="false">IF(A154="","",MIN(Sizing!$B$32,C154*(1+Sizing!$B$24/12)))</f>
        <v>22511.8172418543</v>
      </c>
      <c r="E154" s="31" t="n">
        <f aca="false">IF(A154="","",C154*Sizing!$B$24/12)</f>
        <v>16233.7591046548</v>
      </c>
      <c r="F154" s="31" t="n">
        <f aca="false">IF(A154="","",D154-E154)</f>
        <v>6278.05813719957</v>
      </c>
      <c r="G154" s="31" t="n">
        <f aca="false">IF(A154="","",MAX(0,C154-F154))</f>
        <v>2680688.96608152</v>
      </c>
      <c r="H154" s="32" t="n">
        <f aca="false">IF(A154="","",IF(Inputs!$B$35="5-4-3-2-1 step-down",MAX(0,6-ROUNDUP(A154/12,0))/100,IF(Inputs!$B$35="3-2-1 step-down",MAX(0,4-ROUNDUP(A154/12,0))/100,0)))</f>
        <v>0</v>
      </c>
      <c r="I154" s="31" t="n">
        <f aca="false">IF(A154="","",G154*(1+H154))</f>
        <v>2680688.96608152</v>
      </c>
    </row>
    <row r="155" customFormat="false" ht="15" hidden="false" customHeight="false" outlineLevel="0" collapsed="false">
      <c r="A155" s="33" t="n">
        <f aca="false">IF(150&gt;Sizing!$B$25,"",150)</f>
        <v>150</v>
      </c>
      <c r="B155" s="34" t="n">
        <f aca="false">IF(A155="","",EDATE(Inputs!$B$29,150-1))</f>
        <v>50891</v>
      </c>
      <c r="C155" s="35" t="n">
        <f aca="false">IF(A155="","",G154)</f>
        <v>2680688.96608152</v>
      </c>
      <c r="D155" s="35" t="n">
        <f aca="false">IF(A155="","",MIN(Sizing!$B$32,C155*(1+Sizing!$B$24/12)))</f>
        <v>22511.8172418543</v>
      </c>
      <c r="E155" s="35" t="n">
        <f aca="false">IF(A155="","",C155*Sizing!$B$24/12)</f>
        <v>16195.8291700759</v>
      </c>
      <c r="F155" s="35" t="n">
        <f aca="false">IF(A155="","",D155-E155)</f>
        <v>6315.98807177848</v>
      </c>
      <c r="G155" s="35" t="n">
        <f aca="false">IF(A155="","",MAX(0,C155-F155))</f>
        <v>2674372.97800974</v>
      </c>
      <c r="H155" s="36" t="n">
        <f aca="false">IF(A155="","",IF(Inputs!$B$35="5-4-3-2-1 step-down",MAX(0,6-ROUNDUP(A155/12,0))/100,IF(Inputs!$B$35="3-2-1 step-down",MAX(0,4-ROUNDUP(A155/12,0))/100,0)))</f>
        <v>0</v>
      </c>
      <c r="I155" s="35" t="n">
        <f aca="false">IF(A155="","",G155*(1+H155))</f>
        <v>2674372.97800974</v>
      </c>
    </row>
    <row r="156" customFormat="false" ht="15" hidden="false" customHeight="false" outlineLevel="0" collapsed="false">
      <c r="A156" s="29" t="n">
        <f aca="false">IF(151&gt;Sizing!$B$25,"",151)</f>
        <v>151</v>
      </c>
      <c r="B156" s="30" t="n">
        <f aca="false">IF(A156="","",EDATE(Inputs!$B$29,151-1))</f>
        <v>50922</v>
      </c>
      <c r="C156" s="31" t="n">
        <f aca="false">IF(A156="","",G155)</f>
        <v>2674372.97800974</v>
      </c>
      <c r="D156" s="31" t="n">
        <f aca="false">IF(A156="","",MIN(Sizing!$B$32,C156*(1+Sizing!$B$24/12)))</f>
        <v>22511.8172418543</v>
      </c>
      <c r="E156" s="31" t="n">
        <f aca="false">IF(A156="","",C156*Sizing!$B$24/12)</f>
        <v>16157.6700754755</v>
      </c>
      <c r="F156" s="31" t="n">
        <f aca="false">IF(A156="","",D156-E156)</f>
        <v>6354.14716637881</v>
      </c>
      <c r="G156" s="31" t="n">
        <f aca="false">IF(A156="","",MAX(0,C156-F156))</f>
        <v>2668018.83084336</v>
      </c>
      <c r="H156" s="32" t="n">
        <f aca="false">IF(A156="","",IF(Inputs!$B$35="5-4-3-2-1 step-down",MAX(0,6-ROUNDUP(A156/12,0))/100,IF(Inputs!$B$35="3-2-1 step-down",MAX(0,4-ROUNDUP(A156/12,0))/100,0)))</f>
        <v>0</v>
      </c>
      <c r="I156" s="31" t="n">
        <f aca="false">IF(A156="","",G156*(1+H156))</f>
        <v>2668018.83084336</v>
      </c>
    </row>
    <row r="157" customFormat="false" ht="15" hidden="false" customHeight="false" outlineLevel="0" collapsed="false">
      <c r="A157" s="33" t="n">
        <f aca="false">IF(152&gt;Sizing!$B$25,"",152)</f>
        <v>152</v>
      </c>
      <c r="B157" s="34" t="n">
        <f aca="false">IF(A157="","",EDATE(Inputs!$B$29,152-1))</f>
        <v>50952</v>
      </c>
      <c r="C157" s="35" t="n">
        <f aca="false">IF(A157="","",G156)</f>
        <v>2668018.83084336</v>
      </c>
      <c r="D157" s="35" t="n">
        <f aca="false">IF(A157="","",MIN(Sizing!$B$32,C157*(1+Sizing!$B$24/12)))</f>
        <v>22511.8172418543</v>
      </c>
      <c r="E157" s="35" t="n">
        <f aca="false">IF(A157="","",C157*Sizing!$B$24/12)</f>
        <v>16119.2804363453</v>
      </c>
      <c r="F157" s="35" t="n">
        <f aca="false">IF(A157="","",D157-E157)</f>
        <v>6392.53680550901</v>
      </c>
      <c r="G157" s="35" t="n">
        <f aca="false">IF(A157="","",MAX(0,C157-F157))</f>
        <v>2661626.29403785</v>
      </c>
      <c r="H157" s="36" t="n">
        <f aca="false">IF(A157="","",IF(Inputs!$B$35="5-4-3-2-1 step-down",MAX(0,6-ROUNDUP(A157/12,0))/100,IF(Inputs!$B$35="3-2-1 step-down",MAX(0,4-ROUNDUP(A157/12,0))/100,0)))</f>
        <v>0</v>
      </c>
      <c r="I157" s="35" t="n">
        <f aca="false">IF(A157="","",G157*(1+H157))</f>
        <v>2661626.29403785</v>
      </c>
    </row>
    <row r="158" customFormat="false" ht="15" hidden="false" customHeight="false" outlineLevel="0" collapsed="false">
      <c r="A158" s="29" t="n">
        <f aca="false">IF(153&gt;Sizing!$B$25,"",153)</f>
        <v>153</v>
      </c>
      <c r="B158" s="30" t="n">
        <f aca="false">IF(A158="","",EDATE(Inputs!$B$29,153-1))</f>
        <v>50983</v>
      </c>
      <c r="C158" s="31" t="n">
        <f aca="false">IF(A158="","",G157)</f>
        <v>2661626.29403785</v>
      </c>
      <c r="D158" s="31" t="n">
        <f aca="false">IF(A158="","",MIN(Sizing!$B$32,C158*(1+Sizing!$B$24/12)))</f>
        <v>22511.8172418543</v>
      </c>
      <c r="E158" s="31" t="n">
        <f aca="false">IF(A158="","",C158*Sizing!$B$24/12)</f>
        <v>16080.658859812</v>
      </c>
      <c r="F158" s="31" t="n">
        <f aca="false">IF(A158="","",D158-E158)</f>
        <v>6431.1583820423</v>
      </c>
      <c r="G158" s="31" t="n">
        <f aca="false">IF(A158="","",MAX(0,C158-F158))</f>
        <v>2655195.13565581</v>
      </c>
      <c r="H158" s="32" t="n">
        <f aca="false">IF(A158="","",IF(Inputs!$B$35="5-4-3-2-1 step-down",MAX(0,6-ROUNDUP(A158/12,0))/100,IF(Inputs!$B$35="3-2-1 step-down",MAX(0,4-ROUNDUP(A158/12,0))/100,0)))</f>
        <v>0</v>
      </c>
      <c r="I158" s="31" t="n">
        <f aca="false">IF(A158="","",G158*(1+H158))</f>
        <v>2655195.13565581</v>
      </c>
    </row>
    <row r="159" customFormat="false" ht="15" hidden="false" customHeight="false" outlineLevel="0" collapsed="false">
      <c r="A159" s="33" t="n">
        <f aca="false">IF(154&gt;Sizing!$B$25,"",154)</f>
        <v>154</v>
      </c>
      <c r="B159" s="34" t="n">
        <f aca="false">IF(A159="","",EDATE(Inputs!$B$29,154-1))</f>
        <v>51014</v>
      </c>
      <c r="C159" s="35" t="n">
        <f aca="false">IF(A159="","",G158)</f>
        <v>2655195.13565581</v>
      </c>
      <c r="D159" s="35" t="n">
        <f aca="false">IF(A159="","",MIN(Sizing!$B$32,C159*(1+Sizing!$B$24/12)))</f>
        <v>22511.8172418543</v>
      </c>
      <c r="E159" s="35" t="n">
        <f aca="false">IF(A159="","",C159*Sizing!$B$24/12)</f>
        <v>16041.8039445872</v>
      </c>
      <c r="F159" s="35" t="n">
        <f aca="false">IF(A159="","",D159-E159)</f>
        <v>6470.01329726713</v>
      </c>
      <c r="G159" s="35" t="n">
        <f aca="false">IF(A159="","",MAX(0,C159-F159))</f>
        <v>2648725.12235855</v>
      </c>
      <c r="H159" s="36" t="n">
        <f aca="false">IF(A159="","",IF(Inputs!$B$35="5-4-3-2-1 step-down",MAX(0,6-ROUNDUP(A159/12,0))/100,IF(Inputs!$B$35="3-2-1 step-down",MAX(0,4-ROUNDUP(A159/12,0))/100,0)))</f>
        <v>0</v>
      </c>
      <c r="I159" s="35" t="n">
        <f aca="false">IF(A159="","",G159*(1+H159))</f>
        <v>2648725.12235855</v>
      </c>
    </row>
    <row r="160" customFormat="false" ht="15" hidden="false" customHeight="false" outlineLevel="0" collapsed="false">
      <c r="A160" s="29" t="n">
        <f aca="false">IF(155&gt;Sizing!$B$25,"",155)</f>
        <v>155</v>
      </c>
      <c r="B160" s="30" t="n">
        <f aca="false">IF(A160="","",EDATE(Inputs!$B$29,155-1))</f>
        <v>51044</v>
      </c>
      <c r="C160" s="31" t="n">
        <f aca="false">IF(A160="","",G159)</f>
        <v>2648725.12235855</v>
      </c>
      <c r="D160" s="31" t="n">
        <f aca="false">IF(A160="","",MIN(Sizing!$B$32,C160*(1+Sizing!$B$24/12)))</f>
        <v>22511.8172418543</v>
      </c>
      <c r="E160" s="31" t="n">
        <f aca="false">IF(A160="","",C160*Sizing!$B$24/12)</f>
        <v>16002.7142809162</v>
      </c>
      <c r="F160" s="31" t="n">
        <f aca="false">IF(A160="","",D160-E160)</f>
        <v>6509.10296093812</v>
      </c>
      <c r="G160" s="31" t="n">
        <f aca="false">IF(A160="","",MAX(0,C160-F160))</f>
        <v>2642216.01939761</v>
      </c>
      <c r="H160" s="32" t="n">
        <f aca="false">IF(A160="","",IF(Inputs!$B$35="5-4-3-2-1 step-down",MAX(0,6-ROUNDUP(A160/12,0))/100,IF(Inputs!$B$35="3-2-1 step-down",MAX(0,4-ROUNDUP(A160/12,0))/100,0)))</f>
        <v>0</v>
      </c>
      <c r="I160" s="31" t="n">
        <f aca="false">IF(A160="","",G160*(1+H160))</f>
        <v>2642216.01939761</v>
      </c>
    </row>
    <row r="161" customFormat="false" ht="15" hidden="false" customHeight="false" outlineLevel="0" collapsed="false">
      <c r="A161" s="33" t="n">
        <f aca="false">IF(156&gt;Sizing!$B$25,"",156)</f>
        <v>156</v>
      </c>
      <c r="B161" s="34" t="n">
        <f aca="false">IF(A161="","",EDATE(Inputs!$B$29,156-1))</f>
        <v>51075</v>
      </c>
      <c r="C161" s="35" t="n">
        <f aca="false">IF(A161="","",G160)</f>
        <v>2642216.01939761</v>
      </c>
      <c r="D161" s="35" t="n">
        <f aca="false">IF(A161="","",MIN(Sizing!$B$32,C161*(1+Sizing!$B$24/12)))</f>
        <v>22511.8172418543</v>
      </c>
      <c r="E161" s="35" t="n">
        <f aca="false">IF(A161="","",C161*Sizing!$B$24/12)</f>
        <v>15963.3884505272</v>
      </c>
      <c r="F161" s="35" t="n">
        <f aca="false">IF(A161="","",D161-E161)</f>
        <v>6548.42879132713</v>
      </c>
      <c r="G161" s="35" t="n">
        <f aca="false">IF(A161="","",MAX(0,C161-F161))</f>
        <v>2635667.59060628</v>
      </c>
      <c r="H161" s="36" t="n">
        <f aca="false">IF(A161="","",IF(Inputs!$B$35="5-4-3-2-1 step-down",MAX(0,6-ROUNDUP(A161/12,0))/100,IF(Inputs!$B$35="3-2-1 step-down",MAX(0,4-ROUNDUP(A161/12,0))/100,0)))</f>
        <v>0</v>
      </c>
      <c r="I161" s="35" t="n">
        <f aca="false">IF(A161="","",G161*(1+H161))</f>
        <v>2635667.59060628</v>
      </c>
    </row>
    <row r="162" customFormat="false" ht="15" hidden="false" customHeight="false" outlineLevel="0" collapsed="false">
      <c r="A162" s="29" t="n">
        <f aca="false">IF(157&gt;Sizing!$B$25,"",157)</f>
        <v>157</v>
      </c>
      <c r="B162" s="30" t="n">
        <f aca="false">IF(A162="","",EDATE(Inputs!$B$29,157-1))</f>
        <v>51105</v>
      </c>
      <c r="C162" s="31" t="n">
        <f aca="false">IF(A162="","",G161)</f>
        <v>2635667.59060628</v>
      </c>
      <c r="D162" s="31" t="n">
        <f aca="false">IF(A162="","",MIN(Sizing!$B$32,C162*(1+Sizing!$B$24/12)))</f>
        <v>22511.8172418543</v>
      </c>
      <c r="E162" s="31" t="n">
        <f aca="false">IF(A162="","",C162*Sizing!$B$24/12)</f>
        <v>15923.8250265796</v>
      </c>
      <c r="F162" s="31" t="n">
        <f aca="false">IF(A162="","",D162-E162)</f>
        <v>6587.99221527472</v>
      </c>
      <c r="G162" s="31" t="n">
        <f aca="false">IF(A162="","",MAX(0,C162-F162))</f>
        <v>2629079.59839101</v>
      </c>
      <c r="H162" s="32" t="n">
        <f aca="false">IF(A162="","",IF(Inputs!$B$35="5-4-3-2-1 step-down",MAX(0,6-ROUNDUP(A162/12,0))/100,IF(Inputs!$B$35="3-2-1 step-down",MAX(0,4-ROUNDUP(A162/12,0))/100,0)))</f>
        <v>0</v>
      </c>
      <c r="I162" s="31" t="n">
        <f aca="false">IF(A162="","",G162*(1+H162))</f>
        <v>2629079.59839101</v>
      </c>
    </row>
    <row r="163" customFormat="false" ht="15" hidden="false" customHeight="false" outlineLevel="0" collapsed="false">
      <c r="A163" s="33" t="n">
        <f aca="false">IF(158&gt;Sizing!$B$25,"",158)</f>
        <v>158</v>
      </c>
      <c r="B163" s="34" t="n">
        <f aca="false">IF(A163="","",EDATE(Inputs!$B$29,158-1))</f>
        <v>51136</v>
      </c>
      <c r="C163" s="35" t="n">
        <f aca="false">IF(A163="","",G162)</f>
        <v>2629079.59839101</v>
      </c>
      <c r="D163" s="35" t="n">
        <f aca="false">IF(A163="","",MIN(Sizing!$B$32,C163*(1+Sizing!$B$24/12)))</f>
        <v>22511.8172418543</v>
      </c>
      <c r="E163" s="35" t="n">
        <f aca="false">IF(A163="","",C163*Sizing!$B$24/12)</f>
        <v>15884.0225736123</v>
      </c>
      <c r="F163" s="35" t="n">
        <f aca="false">IF(A163="","",D163-E163)</f>
        <v>6627.79466824201</v>
      </c>
      <c r="G163" s="35" t="n">
        <f aca="false">IF(A163="","",MAX(0,C163-F163))</f>
        <v>2622451.80372276</v>
      </c>
      <c r="H163" s="36" t="n">
        <f aca="false">IF(A163="","",IF(Inputs!$B$35="5-4-3-2-1 step-down",MAX(0,6-ROUNDUP(A163/12,0))/100,IF(Inputs!$B$35="3-2-1 step-down",MAX(0,4-ROUNDUP(A163/12,0))/100,0)))</f>
        <v>0</v>
      </c>
      <c r="I163" s="35" t="n">
        <f aca="false">IF(A163="","",G163*(1+H163))</f>
        <v>2622451.80372276</v>
      </c>
    </row>
    <row r="164" customFormat="false" ht="15" hidden="false" customHeight="false" outlineLevel="0" collapsed="false">
      <c r="A164" s="29" t="n">
        <f aca="false">IF(159&gt;Sizing!$B$25,"",159)</f>
        <v>159</v>
      </c>
      <c r="B164" s="30" t="n">
        <f aca="false">IF(A164="","",EDATE(Inputs!$B$29,159-1))</f>
        <v>51167</v>
      </c>
      <c r="C164" s="31" t="n">
        <f aca="false">IF(A164="","",G163)</f>
        <v>2622451.80372276</v>
      </c>
      <c r="D164" s="31" t="n">
        <f aca="false">IF(A164="","",MIN(Sizing!$B$32,C164*(1+Sizing!$B$24/12)))</f>
        <v>22511.8172418543</v>
      </c>
      <c r="E164" s="31" t="n">
        <f aca="false">IF(A164="","",C164*Sizing!$B$24/12)</f>
        <v>15843.9796474917</v>
      </c>
      <c r="F164" s="31" t="n">
        <f aca="false">IF(A164="","",D164-E164)</f>
        <v>6667.83759436264</v>
      </c>
      <c r="G164" s="31" t="n">
        <f aca="false">IF(A164="","",MAX(0,C164-F164))</f>
        <v>2615783.9661284</v>
      </c>
      <c r="H164" s="32" t="n">
        <f aca="false">IF(A164="","",IF(Inputs!$B$35="5-4-3-2-1 step-down",MAX(0,6-ROUNDUP(A164/12,0))/100,IF(Inputs!$B$35="3-2-1 step-down",MAX(0,4-ROUNDUP(A164/12,0))/100,0)))</f>
        <v>0</v>
      </c>
      <c r="I164" s="31" t="n">
        <f aca="false">IF(A164="","",G164*(1+H164))</f>
        <v>2615783.9661284</v>
      </c>
    </row>
    <row r="165" customFormat="false" ht="15" hidden="false" customHeight="false" outlineLevel="0" collapsed="false">
      <c r="A165" s="33" t="n">
        <f aca="false">IF(160&gt;Sizing!$B$25,"",160)</f>
        <v>160</v>
      </c>
      <c r="B165" s="34" t="n">
        <f aca="false">IF(A165="","",EDATE(Inputs!$B$29,160-1))</f>
        <v>51196</v>
      </c>
      <c r="C165" s="35" t="n">
        <f aca="false">IF(A165="","",G164)</f>
        <v>2615783.9661284</v>
      </c>
      <c r="D165" s="35" t="n">
        <f aca="false">IF(A165="","",MIN(Sizing!$B$32,C165*(1+Sizing!$B$24/12)))</f>
        <v>22511.8172418543</v>
      </c>
      <c r="E165" s="35" t="n">
        <f aca="false">IF(A165="","",C165*Sizing!$B$24/12)</f>
        <v>15803.6947953591</v>
      </c>
      <c r="F165" s="35" t="n">
        <f aca="false">IF(A165="","",D165-E165)</f>
        <v>6708.12244649525</v>
      </c>
      <c r="G165" s="35" t="n">
        <f aca="false">IF(A165="","",MAX(0,C165-F165))</f>
        <v>2609075.84368191</v>
      </c>
      <c r="H165" s="36" t="n">
        <f aca="false">IF(A165="","",IF(Inputs!$B$35="5-4-3-2-1 step-down",MAX(0,6-ROUNDUP(A165/12,0))/100,IF(Inputs!$B$35="3-2-1 step-down",MAX(0,4-ROUNDUP(A165/12,0))/100,0)))</f>
        <v>0</v>
      </c>
      <c r="I165" s="35" t="n">
        <f aca="false">IF(A165="","",G165*(1+H165))</f>
        <v>2609075.84368191</v>
      </c>
    </row>
    <row r="166" customFormat="false" ht="15" hidden="false" customHeight="false" outlineLevel="0" collapsed="false">
      <c r="A166" s="29" t="n">
        <f aca="false">IF(161&gt;Sizing!$B$25,"",161)</f>
        <v>161</v>
      </c>
      <c r="B166" s="30" t="n">
        <f aca="false">IF(A166="","",EDATE(Inputs!$B$29,161-1))</f>
        <v>51227</v>
      </c>
      <c r="C166" s="31" t="n">
        <f aca="false">IF(A166="","",G165)</f>
        <v>2609075.84368191</v>
      </c>
      <c r="D166" s="31" t="n">
        <f aca="false">IF(A166="","",MIN(Sizing!$B$32,C166*(1+Sizing!$B$24/12)))</f>
        <v>22511.8172418543</v>
      </c>
      <c r="E166" s="31" t="n">
        <f aca="false">IF(A166="","",C166*Sizing!$B$24/12)</f>
        <v>15763.1665555782</v>
      </c>
      <c r="F166" s="31" t="n">
        <f aca="false">IF(A166="","",D166-E166)</f>
        <v>6748.65068627615</v>
      </c>
      <c r="G166" s="31" t="n">
        <f aca="false">IF(A166="","",MAX(0,C166-F166))</f>
        <v>2602327.19299563</v>
      </c>
      <c r="H166" s="32" t="n">
        <f aca="false">IF(A166="","",IF(Inputs!$B$35="5-4-3-2-1 step-down",MAX(0,6-ROUNDUP(A166/12,0))/100,IF(Inputs!$B$35="3-2-1 step-down",MAX(0,4-ROUNDUP(A166/12,0))/100,0)))</f>
        <v>0</v>
      </c>
      <c r="I166" s="31" t="n">
        <f aca="false">IF(A166="","",G166*(1+H166))</f>
        <v>2602327.19299563</v>
      </c>
    </row>
    <row r="167" customFormat="false" ht="15" hidden="false" customHeight="false" outlineLevel="0" collapsed="false">
      <c r="A167" s="33" t="n">
        <f aca="false">IF(162&gt;Sizing!$B$25,"",162)</f>
        <v>162</v>
      </c>
      <c r="B167" s="34" t="n">
        <f aca="false">IF(A167="","",EDATE(Inputs!$B$29,162-1))</f>
        <v>51257</v>
      </c>
      <c r="C167" s="35" t="n">
        <f aca="false">IF(A167="","",G166)</f>
        <v>2602327.19299563</v>
      </c>
      <c r="D167" s="35" t="n">
        <f aca="false">IF(A167="","",MIN(Sizing!$B$32,C167*(1+Sizing!$B$24/12)))</f>
        <v>22511.8172418543</v>
      </c>
      <c r="E167" s="35" t="n">
        <f aca="false">IF(A167="","",C167*Sizing!$B$24/12)</f>
        <v>15722.3934576819</v>
      </c>
      <c r="F167" s="35" t="n">
        <f aca="false">IF(A167="","",D167-E167)</f>
        <v>6789.4237841724</v>
      </c>
      <c r="G167" s="35" t="n">
        <f aca="false">IF(A167="","",MAX(0,C167-F167))</f>
        <v>2595537.76921146</v>
      </c>
      <c r="H167" s="36" t="n">
        <f aca="false">IF(A167="","",IF(Inputs!$B$35="5-4-3-2-1 step-down",MAX(0,6-ROUNDUP(A167/12,0))/100,IF(Inputs!$B$35="3-2-1 step-down",MAX(0,4-ROUNDUP(A167/12,0))/100,0)))</f>
        <v>0</v>
      </c>
      <c r="I167" s="35" t="n">
        <f aca="false">IF(A167="","",G167*(1+H167))</f>
        <v>2595537.76921146</v>
      </c>
    </row>
    <row r="168" customFormat="false" ht="15" hidden="false" customHeight="false" outlineLevel="0" collapsed="false">
      <c r="A168" s="29" t="n">
        <f aca="false">IF(163&gt;Sizing!$B$25,"",163)</f>
        <v>163</v>
      </c>
      <c r="B168" s="30" t="n">
        <f aca="false">IF(A168="","",EDATE(Inputs!$B$29,163-1))</f>
        <v>51288</v>
      </c>
      <c r="C168" s="31" t="n">
        <f aca="false">IF(A168="","",G167)</f>
        <v>2595537.76921146</v>
      </c>
      <c r="D168" s="31" t="n">
        <f aca="false">IF(A168="","",MIN(Sizing!$B$32,C168*(1+Sizing!$B$24/12)))</f>
        <v>22511.8172418543</v>
      </c>
      <c r="E168" s="31" t="n">
        <f aca="false">IF(A168="","",C168*Sizing!$B$24/12)</f>
        <v>15681.3740223192</v>
      </c>
      <c r="F168" s="31" t="n">
        <f aca="false">IF(A168="","",D168-E168)</f>
        <v>6830.44321953511</v>
      </c>
      <c r="G168" s="31" t="n">
        <f aca="false">IF(A168="","",MAX(0,C168-F168))</f>
        <v>2588707.32599192</v>
      </c>
      <c r="H168" s="32" t="n">
        <f aca="false">IF(A168="","",IF(Inputs!$B$35="5-4-3-2-1 step-down",MAX(0,6-ROUNDUP(A168/12,0))/100,IF(Inputs!$B$35="3-2-1 step-down",MAX(0,4-ROUNDUP(A168/12,0))/100,0)))</f>
        <v>0</v>
      </c>
      <c r="I168" s="31" t="n">
        <f aca="false">IF(A168="","",G168*(1+H168))</f>
        <v>2588707.32599192</v>
      </c>
    </row>
    <row r="169" customFormat="false" ht="15" hidden="false" customHeight="false" outlineLevel="0" collapsed="false">
      <c r="A169" s="33" t="n">
        <f aca="false">IF(164&gt;Sizing!$B$25,"",164)</f>
        <v>164</v>
      </c>
      <c r="B169" s="34" t="n">
        <f aca="false">IF(A169="","",EDATE(Inputs!$B$29,164-1))</f>
        <v>51318</v>
      </c>
      <c r="C169" s="35" t="n">
        <f aca="false">IF(A169="","",G168)</f>
        <v>2588707.32599192</v>
      </c>
      <c r="D169" s="35" t="n">
        <f aca="false">IF(A169="","",MIN(Sizing!$B$32,C169*(1+Sizing!$B$24/12)))</f>
        <v>22511.8172418543</v>
      </c>
      <c r="E169" s="35" t="n">
        <f aca="false">IF(A169="","",C169*Sizing!$B$24/12)</f>
        <v>15640.1067612012</v>
      </c>
      <c r="F169" s="35" t="n">
        <f aca="false">IF(A169="","",D169-E169)</f>
        <v>6871.71048065314</v>
      </c>
      <c r="G169" s="35" t="n">
        <f aca="false">IF(A169="","",MAX(0,C169-F169))</f>
        <v>2581835.61551127</v>
      </c>
      <c r="H169" s="36" t="n">
        <f aca="false">IF(A169="","",IF(Inputs!$B$35="5-4-3-2-1 step-down",MAX(0,6-ROUNDUP(A169/12,0))/100,IF(Inputs!$B$35="3-2-1 step-down",MAX(0,4-ROUNDUP(A169/12,0))/100,0)))</f>
        <v>0</v>
      </c>
      <c r="I169" s="35" t="n">
        <f aca="false">IF(A169="","",G169*(1+H169))</f>
        <v>2581835.61551127</v>
      </c>
    </row>
    <row r="170" customFormat="false" ht="15" hidden="false" customHeight="false" outlineLevel="0" collapsed="false">
      <c r="A170" s="29" t="n">
        <f aca="false">IF(165&gt;Sizing!$B$25,"",165)</f>
        <v>165</v>
      </c>
      <c r="B170" s="30" t="n">
        <f aca="false">IF(A170="","",EDATE(Inputs!$B$29,165-1))</f>
        <v>51349</v>
      </c>
      <c r="C170" s="31" t="n">
        <f aca="false">IF(A170="","",G169)</f>
        <v>2581835.61551127</v>
      </c>
      <c r="D170" s="31" t="n">
        <f aca="false">IF(A170="","",MIN(Sizing!$B$32,C170*(1+Sizing!$B$24/12)))</f>
        <v>22511.8172418543</v>
      </c>
      <c r="E170" s="31" t="n">
        <f aca="false">IF(A170="","",C170*Sizing!$B$24/12)</f>
        <v>15598.5901770472</v>
      </c>
      <c r="F170" s="31" t="n">
        <f aca="false">IF(A170="","",D170-E170)</f>
        <v>6913.22706480708</v>
      </c>
      <c r="G170" s="31" t="n">
        <f aca="false">IF(A170="","",MAX(0,C170-F170))</f>
        <v>2574922.38844646</v>
      </c>
      <c r="H170" s="32" t="n">
        <f aca="false">IF(A170="","",IF(Inputs!$B$35="5-4-3-2-1 step-down",MAX(0,6-ROUNDUP(A170/12,0))/100,IF(Inputs!$B$35="3-2-1 step-down",MAX(0,4-ROUNDUP(A170/12,0))/100,0)))</f>
        <v>0</v>
      </c>
      <c r="I170" s="31" t="n">
        <f aca="false">IF(A170="","",G170*(1+H170))</f>
        <v>2574922.38844646</v>
      </c>
    </row>
    <row r="171" customFormat="false" ht="15" hidden="false" customHeight="false" outlineLevel="0" collapsed="false">
      <c r="A171" s="33" t="n">
        <f aca="false">IF(166&gt;Sizing!$B$25,"",166)</f>
        <v>166</v>
      </c>
      <c r="B171" s="34" t="n">
        <f aca="false">IF(A171="","",EDATE(Inputs!$B$29,166-1))</f>
        <v>51380</v>
      </c>
      <c r="C171" s="35" t="n">
        <f aca="false">IF(A171="","",G170)</f>
        <v>2574922.38844646</v>
      </c>
      <c r="D171" s="35" t="n">
        <f aca="false">IF(A171="","",MIN(Sizing!$B$32,C171*(1+Sizing!$B$24/12)))</f>
        <v>22511.8172418543</v>
      </c>
      <c r="E171" s="35" t="n">
        <f aca="false">IF(A171="","",C171*Sizing!$B$24/12)</f>
        <v>15556.8227635307</v>
      </c>
      <c r="F171" s="35" t="n">
        <f aca="false">IF(A171="","",D171-E171)</f>
        <v>6954.99447832363</v>
      </c>
      <c r="G171" s="35" t="n">
        <f aca="false">IF(A171="","",MAX(0,C171-F171))</f>
        <v>2567967.39396814</v>
      </c>
      <c r="H171" s="36" t="n">
        <f aca="false">IF(A171="","",IF(Inputs!$B$35="5-4-3-2-1 step-down",MAX(0,6-ROUNDUP(A171/12,0))/100,IF(Inputs!$B$35="3-2-1 step-down",MAX(0,4-ROUNDUP(A171/12,0))/100,0)))</f>
        <v>0</v>
      </c>
      <c r="I171" s="35" t="n">
        <f aca="false">IF(A171="","",G171*(1+H171))</f>
        <v>2567967.39396814</v>
      </c>
    </row>
    <row r="172" customFormat="false" ht="15" hidden="false" customHeight="false" outlineLevel="0" collapsed="false">
      <c r="A172" s="29" t="n">
        <f aca="false">IF(167&gt;Sizing!$B$25,"",167)</f>
        <v>167</v>
      </c>
      <c r="B172" s="30" t="n">
        <f aca="false">IF(A172="","",EDATE(Inputs!$B$29,167-1))</f>
        <v>51410</v>
      </c>
      <c r="C172" s="31" t="n">
        <f aca="false">IF(A172="","",G171)</f>
        <v>2567967.39396814</v>
      </c>
      <c r="D172" s="31" t="n">
        <f aca="false">IF(A172="","",MIN(Sizing!$B$32,C172*(1+Sizing!$B$24/12)))</f>
        <v>22511.8172418543</v>
      </c>
      <c r="E172" s="31" t="n">
        <f aca="false">IF(A172="","",C172*Sizing!$B$24/12)</f>
        <v>15514.8030052242</v>
      </c>
      <c r="F172" s="31" t="n">
        <f aca="false">IF(A172="","",D172-E172)</f>
        <v>6997.01423663016</v>
      </c>
      <c r="G172" s="31" t="n">
        <f aca="false">IF(A172="","",MAX(0,C172-F172))</f>
        <v>2560970.37973151</v>
      </c>
      <c r="H172" s="32" t="n">
        <f aca="false">IF(A172="","",IF(Inputs!$B$35="5-4-3-2-1 step-down",MAX(0,6-ROUNDUP(A172/12,0))/100,IF(Inputs!$B$35="3-2-1 step-down",MAX(0,4-ROUNDUP(A172/12,0))/100,0)))</f>
        <v>0</v>
      </c>
      <c r="I172" s="31" t="n">
        <f aca="false">IF(A172="","",G172*(1+H172))</f>
        <v>2560970.37973151</v>
      </c>
    </row>
    <row r="173" customFormat="false" ht="15" hidden="false" customHeight="false" outlineLevel="0" collapsed="false">
      <c r="A173" s="33" t="n">
        <f aca="false">IF(168&gt;Sizing!$B$25,"",168)</f>
        <v>168</v>
      </c>
      <c r="B173" s="34" t="n">
        <f aca="false">IF(A173="","",EDATE(Inputs!$B$29,168-1))</f>
        <v>51441</v>
      </c>
      <c r="C173" s="35" t="n">
        <f aca="false">IF(A173="","",G172)</f>
        <v>2560970.37973151</v>
      </c>
      <c r="D173" s="35" t="n">
        <f aca="false">IF(A173="","",MIN(Sizing!$B$32,C173*(1+Sizing!$B$24/12)))</f>
        <v>22511.8172418543</v>
      </c>
      <c r="E173" s="35" t="n">
        <f aca="false">IF(A173="","",C173*Sizing!$B$24/12)</f>
        <v>15472.5293775445</v>
      </c>
      <c r="F173" s="35" t="n">
        <f aca="false">IF(A173="","",D173-E173)</f>
        <v>7039.2878643098</v>
      </c>
      <c r="G173" s="35" t="n">
        <f aca="false">IF(A173="","",MAX(0,C173-F173))</f>
        <v>2553931.0918672</v>
      </c>
      <c r="H173" s="36" t="n">
        <f aca="false">IF(A173="","",IF(Inputs!$B$35="5-4-3-2-1 step-down",MAX(0,6-ROUNDUP(A173/12,0))/100,IF(Inputs!$B$35="3-2-1 step-down",MAX(0,4-ROUNDUP(A173/12,0))/100,0)))</f>
        <v>0</v>
      </c>
      <c r="I173" s="35" t="n">
        <f aca="false">IF(A173="","",G173*(1+H173))</f>
        <v>2553931.0918672</v>
      </c>
    </row>
    <row r="174" customFormat="false" ht="15" hidden="false" customHeight="false" outlineLevel="0" collapsed="false">
      <c r="A174" s="29" t="n">
        <f aca="false">IF(169&gt;Sizing!$B$25,"",169)</f>
        <v>169</v>
      </c>
      <c r="B174" s="30" t="n">
        <f aca="false">IF(A174="","",EDATE(Inputs!$B$29,169-1))</f>
        <v>51471</v>
      </c>
      <c r="C174" s="31" t="n">
        <f aca="false">IF(A174="","",G173)</f>
        <v>2553931.0918672</v>
      </c>
      <c r="D174" s="31" t="n">
        <f aca="false">IF(A174="","",MIN(Sizing!$B$32,C174*(1+Sizing!$B$24/12)))</f>
        <v>22511.8172418543</v>
      </c>
      <c r="E174" s="31" t="n">
        <f aca="false">IF(A174="","",C174*Sizing!$B$24/12)</f>
        <v>15430.0003466977</v>
      </c>
      <c r="F174" s="31" t="n">
        <f aca="false">IF(A174="","",D174-E174)</f>
        <v>7081.81689515668</v>
      </c>
      <c r="G174" s="31" t="n">
        <f aca="false">IF(A174="","",MAX(0,C174-F174))</f>
        <v>2546849.27497204</v>
      </c>
      <c r="H174" s="32" t="n">
        <f aca="false">IF(A174="","",IF(Inputs!$B$35="5-4-3-2-1 step-down",MAX(0,6-ROUNDUP(A174/12,0))/100,IF(Inputs!$B$35="3-2-1 step-down",MAX(0,4-ROUNDUP(A174/12,0))/100,0)))</f>
        <v>0</v>
      </c>
      <c r="I174" s="31" t="n">
        <f aca="false">IF(A174="","",G174*(1+H174))</f>
        <v>2546849.27497204</v>
      </c>
    </row>
    <row r="175" customFormat="false" ht="15" hidden="false" customHeight="false" outlineLevel="0" collapsed="false">
      <c r="A175" s="33" t="n">
        <f aca="false">IF(170&gt;Sizing!$B$25,"",170)</f>
        <v>170</v>
      </c>
      <c r="B175" s="34" t="n">
        <f aca="false">IF(A175="","",EDATE(Inputs!$B$29,170-1))</f>
        <v>51502</v>
      </c>
      <c r="C175" s="35" t="n">
        <f aca="false">IF(A175="","",G174)</f>
        <v>2546849.27497204</v>
      </c>
      <c r="D175" s="35" t="n">
        <f aca="false">IF(A175="","",MIN(Sizing!$B$32,C175*(1+Sizing!$B$24/12)))</f>
        <v>22511.8172418543</v>
      </c>
      <c r="E175" s="35" t="n">
        <f aca="false">IF(A175="","",C175*Sizing!$B$24/12)</f>
        <v>15387.2143696228</v>
      </c>
      <c r="F175" s="35" t="n">
        <f aca="false">IF(A175="","",D175-E175)</f>
        <v>7124.60287223158</v>
      </c>
      <c r="G175" s="35" t="n">
        <f aca="false">IF(A175="","",MAX(0,C175-F175))</f>
        <v>2539724.67209981</v>
      </c>
      <c r="H175" s="36" t="n">
        <f aca="false">IF(A175="","",IF(Inputs!$B$35="5-4-3-2-1 step-down",MAX(0,6-ROUNDUP(A175/12,0))/100,IF(Inputs!$B$35="3-2-1 step-down",MAX(0,4-ROUNDUP(A175/12,0))/100,0)))</f>
        <v>0</v>
      </c>
      <c r="I175" s="35" t="n">
        <f aca="false">IF(A175="","",G175*(1+H175))</f>
        <v>2539724.67209981</v>
      </c>
    </row>
    <row r="176" customFormat="false" ht="15" hidden="false" customHeight="false" outlineLevel="0" collapsed="false">
      <c r="A176" s="29" t="n">
        <f aca="false">IF(171&gt;Sizing!$B$25,"",171)</f>
        <v>171</v>
      </c>
      <c r="B176" s="30" t="n">
        <f aca="false">IF(A176="","",EDATE(Inputs!$B$29,171-1))</f>
        <v>51533</v>
      </c>
      <c r="C176" s="31" t="n">
        <f aca="false">IF(A176="","",G175)</f>
        <v>2539724.67209981</v>
      </c>
      <c r="D176" s="31" t="n">
        <f aca="false">IF(A176="","",MIN(Sizing!$B$32,C176*(1+Sizing!$B$24/12)))</f>
        <v>22511.8172418543</v>
      </c>
      <c r="E176" s="31" t="n">
        <f aca="false">IF(A176="","",C176*Sizing!$B$24/12)</f>
        <v>15344.1698939364</v>
      </c>
      <c r="F176" s="31" t="n">
        <f aca="false">IF(A176="","",D176-E176)</f>
        <v>7167.64734791798</v>
      </c>
      <c r="G176" s="31" t="n">
        <f aca="false">IF(A176="","",MAX(0,C176-F176))</f>
        <v>2532557.02475189</v>
      </c>
      <c r="H176" s="32" t="n">
        <f aca="false">IF(A176="","",IF(Inputs!$B$35="5-4-3-2-1 step-down",MAX(0,6-ROUNDUP(A176/12,0))/100,IF(Inputs!$B$35="3-2-1 step-down",MAX(0,4-ROUNDUP(A176/12,0))/100,0)))</f>
        <v>0</v>
      </c>
      <c r="I176" s="31" t="n">
        <f aca="false">IF(A176="","",G176*(1+H176))</f>
        <v>2532557.02475189</v>
      </c>
    </row>
    <row r="177" customFormat="false" ht="15" hidden="false" customHeight="false" outlineLevel="0" collapsed="false">
      <c r="A177" s="33" t="n">
        <f aca="false">IF(172&gt;Sizing!$B$25,"",172)</f>
        <v>172</v>
      </c>
      <c r="B177" s="34" t="n">
        <f aca="false">IF(A177="","",EDATE(Inputs!$B$29,172-1))</f>
        <v>51561</v>
      </c>
      <c r="C177" s="35" t="n">
        <f aca="false">IF(A177="","",G176)</f>
        <v>2532557.02475189</v>
      </c>
      <c r="D177" s="35" t="n">
        <f aca="false">IF(A177="","",MIN(Sizing!$B$32,C177*(1+Sizing!$B$24/12)))</f>
        <v>22511.8172418543</v>
      </c>
      <c r="E177" s="35" t="n">
        <f aca="false">IF(A177="","",C177*Sizing!$B$24/12)</f>
        <v>15300.865357876</v>
      </c>
      <c r="F177" s="35" t="n">
        <f aca="false">IF(A177="","",D177-E177)</f>
        <v>7210.95188397831</v>
      </c>
      <c r="G177" s="35" t="n">
        <f aca="false">IF(A177="","",MAX(0,C177-F177))</f>
        <v>2525346.07286791</v>
      </c>
      <c r="H177" s="36" t="n">
        <f aca="false">IF(A177="","",IF(Inputs!$B$35="5-4-3-2-1 step-down",MAX(0,6-ROUNDUP(A177/12,0))/100,IF(Inputs!$B$35="3-2-1 step-down",MAX(0,4-ROUNDUP(A177/12,0))/100,0)))</f>
        <v>0</v>
      </c>
      <c r="I177" s="35" t="n">
        <f aca="false">IF(A177="","",G177*(1+H177))</f>
        <v>2525346.07286791</v>
      </c>
    </row>
    <row r="178" customFormat="false" ht="15" hidden="false" customHeight="false" outlineLevel="0" collapsed="false">
      <c r="A178" s="29" t="n">
        <f aca="false">IF(173&gt;Sizing!$B$25,"",173)</f>
        <v>173</v>
      </c>
      <c r="B178" s="30" t="n">
        <f aca="false">IF(A178="","",EDATE(Inputs!$B$29,173-1))</f>
        <v>51592</v>
      </c>
      <c r="C178" s="31" t="n">
        <f aca="false">IF(A178="","",G177)</f>
        <v>2525346.07286791</v>
      </c>
      <c r="D178" s="31" t="n">
        <f aca="false">IF(A178="","",MIN(Sizing!$B$32,C178*(1+Sizing!$B$24/12)))</f>
        <v>22511.8172418543</v>
      </c>
      <c r="E178" s="31" t="n">
        <f aca="false">IF(A178="","",C178*Sizing!$B$24/12)</f>
        <v>15257.2991902437</v>
      </c>
      <c r="F178" s="31" t="n">
        <f aca="false">IF(A178="","",D178-E178)</f>
        <v>7254.51805161068</v>
      </c>
      <c r="G178" s="31" t="n">
        <f aca="false">IF(A178="","",MAX(0,C178-F178))</f>
        <v>2518091.5548163</v>
      </c>
      <c r="H178" s="32" t="n">
        <f aca="false">IF(A178="","",IF(Inputs!$B$35="5-4-3-2-1 step-down",MAX(0,6-ROUNDUP(A178/12,0))/100,IF(Inputs!$B$35="3-2-1 step-down",MAX(0,4-ROUNDUP(A178/12,0))/100,0)))</f>
        <v>0</v>
      </c>
      <c r="I178" s="31" t="n">
        <f aca="false">IF(A178="","",G178*(1+H178))</f>
        <v>2518091.5548163</v>
      </c>
    </row>
    <row r="179" customFormat="false" ht="15" hidden="false" customHeight="false" outlineLevel="0" collapsed="false">
      <c r="A179" s="33" t="n">
        <f aca="false">IF(174&gt;Sizing!$B$25,"",174)</f>
        <v>174</v>
      </c>
      <c r="B179" s="34" t="n">
        <f aca="false">IF(A179="","",EDATE(Inputs!$B$29,174-1))</f>
        <v>51622</v>
      </c>
      <c r="C179" s="35" t="n">
        <f aca="false">IF(A179="","",G178)</f>
        <v>2518091.5548163</v>
      </c>
      <c r="D179" s="35" t="n">
        <f aca="false">IF(A179="","",MIN(Sizing!$B$32,C179*(1+Sizing!$B$24/12)))</f>
        <v>22511.8172418543</v>
      </c>
      <c r="E179" s="35" t="n">
        <f aca="false">IF(A179="","",C179*Sizing!$B$24/12)</f>
        <v>15213.4698103485</v>
      </c>
      <c r="F179" s="35" t="n">
        <f aca="false">IF(A179="","",D179-E179)</f>
        <v>7298.34743150583</v>
      </c>
      <c r="G179" s="35" t="n">
        <f aca="false">IF(A179="","",MAX(0,C179-F179))</f>
        <v>2510793.2073848</v>
      </c>
      <c r="H179" s="36" t="n">
        <f aca="false">IF(A179="","",IF(Inputs!$B$35="5-4-3-2-1 step-down",MAX(0,6-ROUNDUP(A179/12,0))/100,IF(Inputs!$B$35="3-2-1 step-down",MAX(0,4-ROUNDUP(A179/12,0))/100,0)))</f>
        <v>0</v>
      </c>
      <c r="I179" s="35" t="n">
        <f aca="false">IF(A179="","",G179*(1+H179))</f>
        <v>2510793.2073848</v>
      </c>
    </row>
    <row r="180" customFormat="false" ht="15" hidden="false" customHeight="false" outlineLevel="0" collapsed="false">
      <c r="A180" s="29" t="n">
        <f aca="false">IF(175&gt;Sizing!$B$25,"",175)</f>
        <v>175</v>
      </c>
      <c r="B180" s="30" t="n">
        <f aca="false">IF(A180="","",EDATE(Inputs!$B$29,175-1))</f>
        <v>51653</v>
      </c>
      <c r="C180" s="31" t="n">
        <f aca="false">IF(A180="","",G179)</f>
        <v>2510793.2073848</v>
      </c>
      <c r="D180" s="31" t="n">
        <f aca="false">IF(A180="","",MIN(Sizing!$B$32,C180*(1+Sizing!$B$24/12)))</f>
        <v>22511.8172418543</v>
      </c>
      <c r="E180" s="31" t="n">
        <f aca="false">IF(A180="","",C180*Sizing!$B$24/12)</f>
        <v>15169.3756279498</v>
      </c>
      <c r="F180" s="31" t="n">
        <f aca="false">IF(A180="","",D180-E180)</f>
        <v>7342.44161390451</v>
      </c>
      <c r="G180" s="31" t="n">
        <f aca="false">IF(A180="","",MAX(0,C180-F180))</f>
        <v>2503450.76577089</v>
      </c>
      <c r="H180" s="32" t="n">
        <f aca="false">IF(A180="","",IF(Inputs!$B$35="5-4-3-2-1 step-down",MAX(0,6-ROUNDUP(A180/12,0))/100,IF(Inputs!$B$35="3-2-1 step-down",MAX(0,4-ROUNDUP(A180/12,0))/100,0)))</f>
        <v>0</v>
      </c>
      <c r="I180" s="31" t="n">
        <f aca="false">IF(A180="","",G180*(1+H180))</f>
        <v>2503450.76577089</v>
      </c>
    </row>
    <row r="181" customFormat="false" ht="15" hidden="false" customHeight="false" outlineLevel="0" collapsed="false">
      <c r="A181" s="33" t="n">
        <f aca="false">IF(176&gt;Sizing!$B$25,"",176)</f>
        <v>176</v>
      </c>
      <c r="B181" s="34" t="n">
        <f aca="false">IF(A181="","",EDATE(Inputs!$B$29,176-1))</f>
        <v>51683</v>
      </c>
      <c r="C181" s="35" t="n">
        <f aca="false">IF(A181="","",G180)</f>
        <v>2503450.76577089</v>
      </c>
      <c r="D181" s="35" t="n">
        <f aca="false">IF(A181="","",MIN(Sizing!$B$32,C181*(1+Sizing!$B$24/12)))</f>
        <v>22511.8172418543</v>
      </c>
      <c r="E181" s="35" t="n">
        <f aca="false">IF(A181="","",C181*Sizing!$B$24/12)</f>
        <v>15125.0150431991</v>
      </c>
      <c r="F181" s="35" t="n">
        <f aca="false">IF(A181="","",D181-E181)</f>
        <v>7386.80219865519</v>
      </c>
      <c r="G181" s="35" t="n">
        <f aca="false">IF(A181="","",MAX(0,C181-F181))</f>
        <v>2496063.96357224</v>
      </c>
      <c r="H181" s="36" t="n">
        <f aca="false">IF(A181="","",IF(Inputs!$B$35="5-4-3-2-1 step-down",MAX(0,6-ROUNDUP(A181/12,0))/100,IF(Inputs!$B$35="3-2-1 step-down",MAX(0,4-ROUNDUP(A181/12,0))/100,0)))</f>
        <v>0</v>
      </c>
      <c r="I181" s="35" t="n">
        <f aca="false">IF(A181="","",G181*(1+H181))</f>
        <v>2496063.96357224</v>
      </c>
    </row>
    <row r="182" customFormat="false" ht="15" hidden="false" customHeight="false" outlineLevel="0" collapsed="false">
      <c r="A182" s="29" t="n">
        <f aca="false">IF(177&gt;Sizing!$B$25,"",177)</f>
        <v>177</v>
      </c>
      <c r="B182" s="30" t="n">
        <f aca="false">IF(A182="","",EDATE(Inputs!$B$29,177-1))</f>
        <v>51714</v>
      </c>
      <c r="C182" s="31" t="n">
        <f aca="false">IF(A182="","",G181)</f>
        <v>2496063.96357224</v>
      </c>
      <c r="D182" s="31" t="n">
        <f aca="false">IF(A182="","",MIN(Sizing!$B$32,C182*(1+Sizing!$B$24/12)))</f>
        <v>22511.8172418543</v>
      </c>
      <c r="E182" s="31" t="n">
        <f aca="false">IF(A182="","",C182*Sizing!$B$24/12)</f>
        <v>15080.3864465823</v>
      </c>
      <c r="F182" s="31" t="n">
        <f aca="false">IF(A182="","",D182-E182)</f>
        <v>7431.43079527206</v>
      </c>
      <c r="G182" s="31" t="n">
        <f aca="false">IF(A182="","",MAX(0,C182-F182))</f>
        <v>2488632.53277697</v>
      </c>
      <c r="H182" s="32" t="n">
        <f aca="false">IF(A182="","",IF(Inputs!$B$35="5-4-3-2-1 step-down",MAX(0,6-ROUNDUP(A182/12,0))/100,IF(Inputs!$B$35="3-2-1 step-down",MAX(0,4-ROUNDUP(A182/12,0))/100,0)))</f>
        <v>0</v>
      </c>
      <c r="I182" s="31" t="n">
        <f aca="false">IF(A182="","",G182*(1+H182))</f>
        <v>2488632.53277697</v>
      </c>
    </row>
    <row r="183" customFormat="false" ht="15" hidden="false" customHeight="false" outlineLevel="0" collapsed="false">
      <c r="A183" s="33" t="n">
        <f aca="false">IF(178&gt;Sizing!$B$25,"",178)</f>
        <v>178</v>
      </c>
      <c r="B183" s="34" t="n">
        <f aca="false">IF(A183="","",EDATE(Inputs!$B$29,178-1))</f>
        <v>51745</v>
      </c>
      <c r="C183" s="35" t="n">
        <f aca="false">IF(A183="","",G182)</f>
        <v>2488632.53277697</v>
      </c>
      <c r="D183" s="35" t="n">
        <f aca="false">IF(A183="","",MIN(Sizing!$B$32,C183*(1+Sizing!$B$24/12)))</f>
        <v>22511.8172418543</v>
      </c>
      <c r="E183" s="35" t="n">
        <f aca="false">IF(A183="","",C183*Sizing!$B$24/12)</f>
        <v>15035.4882188608</v>
      </c>
      <c r="F183" s="35" t="n">
        <f aca="false">IF(A183="","",D183-E183)</f>
        <v>7476.3290229935</v>
      </c>
      <c r="G183" s="35" t="n">
        <f aca="false">IF(A183="","",MAX(0,C183-F183))</f>
        <v>2481156.20375397</v>
      </c>
      <c r="H183" s="36" t="n">
        <f aca="false">IF(A183="","",IF(Inputs!$B$35="5-4-3-2-1 step-down",MAX(0,6-ROUNDUP(A183/12,0))/100,IF(Inputs!$B$35="3-2-1 step-down",MAX(0,4-ROUNDUP(A183/12,0))/100,0)))</f>
        <v>0</v>
      </c>
      <c r="I183" s="35" t="n">
        <f aca="false">IF(A183="","",G183*(1+H183))</f>
        <v>2481156.20375397</v>
      </c>
    </row>
    <row r="184" customFormat="false" ht="15" hidden="false" customHeight="false" outlineLevel="0" collapsed="false">
      <c r="A184" s="29" t="n">
        <f aca="false">IF(179&gt;Sizing!$B$25,"",179)</f>
        <v>179</v>
      </c>
      <c r="B184" s="30" t="n">
        <f aca="false">IF(A184="","",EDATE(Inputs!$B$29,179-1))</f>
        <v>51775</v>
      </c>
      <c r="C184" s="31" t="n">
        <f aca="false">IF(A184="","",G183)</f>
        <v>2481156.20375397</v>
      </c>
      <c r="D184" s="31" t="n">
        <f aca="false">IF(A184="","",MIN(Sizing!$B$32,C184*(1+Sizing!$B$24/12)))</f>
        <v>22511.8172418543</v>
      </c>
      <c r="E184" s="31" t="n">
        <f aca="false">IF(A184="","",C184*Sizing!$B$24/12)</f>
        <v>14990.3187310136</v>
      </c>
      <c r="F184" s="31" t="n">
        <f aca="false">IF(A184="","",D184-E184)</f>
        <v>7521.49851084075</v>
      </c>
      <c r="G184" s="31" t="n">
        <f aca="false">IF(A184="","",MAX(0,C184-F184))</f>
        <v>2473634.70524313</v>
      </c>
      <c r="H184" s="32" t="n">
        <f aca="false">IF(A184="","",IF(Inputs!$B$35="5-4-3-2-1 step-down",MAX(0,6-ROUNDUP(A184/12,0))/100,IF(Inputs!$B$35="3-2-1 step-down",MAX(0,4-ROUNDUP(A184/12,0))/100,0)))</f>
        <v>0</v>
      </c>
      <c r="I184" s="31" t="n">
        <f aca="false">IF(A184="","",G184*(1+H184))</f>
        <v>2473634.70524313</v>
      </c>
    </row>
    <row r="185" customFormat="false" ht="15" hidden="false" customHeight="false" outlineLevel="0" collapsed="false">
      <c r="A185" s="33" t="n">
        <f aca="false">IF(180&gt;Sizing!$B$25,"",180)</f>
        <v>180</v>
      </c>
      <c r="B185" s="34" t="n">
        <f aca="false">IF(A185="","",EDATE(Inputs!$B$29,180-1))</f>
        <v>51806</v>
      </c>
      <c r="C185" s="35" t="n">
        <f aca="false">IF(A185="","",G184)</f>
        <v>2473634.70524313</v>
      </c>
      <c r="D185" s="35" t="n">
        <f aca="false">IF(A185="","",MIN(Sizing!$B$32,C185*(1+Sizing!$B$24/12)))</f>
        <v>22511.8172418543</v>
      </c>
      <c r="E185" s="35" t="n">
        <f aca="false">IF(A185="","",C185*Sizing!$B$24/12)</f>
        <v>14944.8763441773</v>
      </c>
      <c r="F185" s="35" t="n">
        <f aca="false">IF(A185="","",D185-E185)</f>
        <v>7566.94089767708</v>
      </c>
      <c r="G185" s="35" t="n">
        <f aca="false">IF(A185="","",MAX(0,C185-F185))</f>
        <v>2466067.76434546</v>
      </c>
      <c r="H185" s="36" t="n">
        <f aca="false">IF(A185="","",IF(Inputs!$B$35="5-4-3-2-1 step-down",MAX(0,6-ROUNDUP(A185/12,0))/100,IF(Inputs!$B$35="3-2-1 step-down",MAX(0,4-ROUNDUP(A185/12,0))/100,0)))</f>
        <v>0</v>
      </c>
      <c r="I185" s="35" t="n">
        <f aca="false">IF(A185="","",G185*(1+H185))</f>
        <v>2466067.76434546</v>
      </c>
    </row>
    <row r="186" customFormat="false" ht="15" hidden="false" customHeight="false" outlineLevel="0" collapsed="false">
      <c r="A186" s="29" t="n">
        <f aca="false">IF(181&gt;Sizing!$B$25,"",181)</f>
        <v>181</v>
      </c>
      <c r="B186" s="30" t="n">
        <f aca="false">IF(A186="","",EDATE(Inputs!$B$29,181-1))</f>
        <v>51836</v>
      </c>
      <c r="C186" s="31" t="n">
        <f aca="false">IF(A186="","",G185)</f>
        <v>2466067.76434546</v>
      </c>
      <c r="D186" s="31" t="n">
        <f aca="false">IF(A186="","",MIN(Sizing!$B$32,C186*(1+Sizing!$B$24/12)))</f>
        <v>22511.8172418543</v>
      </c>
      <c r="E186" s="31" t="n">
        <f aca="false">IF(A186="","",C186*Sizing!$B$24/12)</f>
        <v>14899.1594095871</v>
      </c>
      <c r="F186" s="31" t="n">
        <f aca="false">IF(A186="","",D186-E186)</f>
        <v>7612.65783226721</v>
      </c>
      <c r="G186" s="31" t="n">
        <f aca="false">IF(A186="","",MAX(0,C186-F186))</f>
        <v>2458455.10651319</v>
      </c>
      <c r="H186" s="32" t="n">
        <f aca="false">IF(A186="","",IF(Inputs!$B$35="5-4-3-2-1 step-down",MAX(0,6-ROUNDUP(A186/12,0))/100,IF(Inputs!$B$35="3-2-1 step-down",MAX(0,4-ROUNDUP(A186/12,0))/100,0)))</f>
        <v>0</v>
      </c>
      <c r="I186" s="31" t="n">
        <f aca="false">IF(A186="","",G186*(1+H186))</f>
        <v>2458455.10651319</v>
      </c>
    </row>
    <row r="187" customFormat="false" ht="15" hidden="false" customHeight="false" outlineLevel="0" collapsed="false">
      <c r="A187" s="33" t="n">
        <f aca="false">IF(182&gt;Sizing!$B$25,"",182)</f>
        <v>182</v>
      </c>
      <c r="B187" s="34" t="n">
        <f aca="false">IF(A187="","",EDATE(Inputs!$B$29,182-1))</f>
        <v>51867</v>
      </c>
      <c r="C187" s="35" t="n">
        <f aca="false">IF(A187="","",G186)</f>
        <v>2458455.10651319</v>
      </c>
      <c r="D187" s="35" t="n">
        <f aca="false">IF(A187="","",MIN(Sizing!$B$32,C187*(1+Sizing!$B$24/12)))</f>
        <v>22511.8172418543</v>
      </c>
      <c r="E187" s="35" t="n">
        <f aca="false">IF(A187="","",C187*Sizing!$B$24/12)</f>
        <v>14853.1662685172</v>
      </c>
      <c r="F187" s="35" t="n">
        <f aca="false">IF(A187="","",D187-E187)</f>
        <v>7658.65097333716</v>
      </c>
      <c r="G187" s="35" t="n">
        <f aca="false">IF(A187="","",MAX(0,C187-F187))</f>
        <v>2450796.45553985</v>
      </c>
      <c r="H187" s="36" t="n">
        <f aca="false">IF(A187="","",IF(Inputs!$B$35="5-4-3-2-1 step-down",MAX(0,6-ROUNDUP(A187/12,0))/100,IF(Inputs!$B$35="3-2-1 step-down",MAX(0,4-ROUNDUP(A187/12,0))/100,0)))</f>
        <v>0</v>
      </c>
      <c r="I187" s="35" t="n">
        <f aca="false">IF(A187="","",G187*(1+H187))</f>
        <v>2450796.45553985</v>
      </c>
    </row>
    <row r="188" customFormat="false" ht="15" hidden="false" customHeight="false" outlineLevel="0" collapsed="false">
      <c r="A188" s="29" t="n">
        <f aca="false">IF(183&gt;Sizing!$B$25,"",183)</f>
        <v>183</v>
      </c>
      <c r="B188" s="30" t="n">
        <f aca="false">IF(A188="","",EDATE(Inputs!$B$29,183-1))</f>
        <v>51898</v>
      </c>
      <c r="C188" s="31" t="n">
        <f aca="false">IF(A188="","",G187)</f>
        <v>2450796.45553985</v>
      </c>
      <c r="D188" s="31" t="n">
        <f aca="false">IF(A188="","",MIN(Sizing!$B$32,C188*(1+Sizing!$B$24/12)))</f>
        <v>22511.8172418543</v>
      </c>
      <c r="E188" s="31" t="n">
        <f aca="false">IF(A188="","",C188*Sizing!$B$24/12)</f>
        <v>14806.8952522199</v>
      </c>
      <c r="F188" s="31" t="n">
        <f aca="false">IF(A188="","",D188-E188)</f>
        <v>7704.9219896344</v>
      </c>
      <c r="G188" s="31" t="n">
        <f aca="false">IF(A188="","",MAX(0,C188-F188))</f>
        <v>2443091.53355022</v>
      </c>
      <c r="H188" s="32" t="n">
        <f aca="false">IF(A188="","",IF(Inputs!$B$35="5-4-3-2-1 step-down",MAX(0,6-ROUNDUP(A188/12,0))/100,IF(Inputs!$B$35="3-2-1 step-down",MAX(0,4-ROUNDUP(A188/12,0))/100,0)))</f>
        <v>0</v>
      </c>
      <c r="I188" s="31" t="n">
        <f aca="false">IF(A188="","",G188*(1+H188))</f>
        <v>2443091.53355022</v>
      </c>
    </row>
    <row r="189" customFormat="false" ht="15" hidden="false" customHeight="false" outlineLevel="0" collapsed="false">
      <c r="A189" s="33" t="n">
        <f aca="false">IF(184&gt;Sizing!$B$25,"",184)</f>
        <v>184</v>
      </c>
      <c r="B189" s="34" t="n">
        <f aca="false">IF(A189="","",EDATE(Inputs!$B$29,184-1))</f>
        <v>51926</v>
      </c>
      <c r="C189" s="35" t="n">
        <f aca="false">IF(A189="","",G188)</f>
        <v>2443091.53355022</v>
      </c>
      <c r="D189" s="35" t="n">
        <f aca="false">IF(A189="","",MIN(Sizing!$B$32,C189*(1+Sizing!$B$24/12)))</f>
        <v>22511.8172418543</v>
      </c>
      <c r="E189" s="35" t="n">
        <f aca="false">IF(A189="","",C189*Sizing!$B$24/12)</f>
        <v>14760.3446818659</v>
      </c>
      <c r="F189" s="35" t="n">
        <f aca="false">IF(A189="","",D189-E189)</f>
        <v>7751.47255998845</v>
      </c>
      <c r="G189" s="35" t="n">
        <f aca="false">IF(A189="","",MAX(0,C189-F189))</f>
        <v>2435340.06099023</v>
      </c>
      <c r="H189" s="36" t="n">
        <f aca="false">IF(A189="","",IF(Inputs!$B$35="5-4-3-2-1 step-down",MAX(0,6-ROUNDUP(A189/12,0))/100,IF(Inputs!$B$35="3-2-1 step-down",MAX(0,4-ROUNDUP(A189/12,0))/100,0)))</f>
        <v>0</v>
      </c>
      <c r="I189" s="35" t="n">
        <f aca="false">IF(A189="","",G189*(1+H189))</f>
        <v>2435340.06099023</v>
      </c>
    </row>
    <row r="190" customFormat="false" ht="15" hidden="false" customHeight="false" outlineLevel="0" collapsed="false">
      <c r="A190" s="29" t="n">
        <f aca="false">IF(185&gt;Sizing!$B$25,"",185)</f>
        <v>185</v>
      </c>
      <c r="B190" s="30" t="n">
        <f aca="false">IF(A190="","",EDATE(Inputs!$B$29,185-1))</f>
        <v>51957</v>
      </c>
      <c r="C190" s="31" t="n">
        <f aca="false">IF(A190="","",G189)</f>
        <v>2435340.06099023</v>
      </c>
      <c r="D190" s="31" t="n">
        <f aca="false">IF(A190="","",MIN(Sizing!$B$32,C190*(1+Sizing!$B$24/12)))</f>
        <v>22511.8172418543</v>
      </c>
      <c r="E190" s="31" t="n">
        <f aca="false">IF(A190="","",C190*Sizing!$B$24/12)</f>
        <v>14713.5128684826</v>
      </c>
      <c r="F190" s="31" t="n">
        <f aca="false">IF(A190="","",D190-E190)</f>
        <v>7798.30437337171</v>
      </c>
      <c r="G190" s="31" t="n">
        <f aca="false">IF(A190="","",MAX(0,C190-F190))</f>
        <v>2427541.75661686</v>
      </c>
      <c r="H190" s="32" t="n">
        <f aca="false">IF(A190="","",IF(Inputs!$B$35="5-4-3-2-1 step-down",MAX(0,6-ROUNDUP(A190/12,0))/100,IF(Inputs!$B$35="3-2-1 step-down",MAX(0,4-ROUNDUP(A190/12,0))/100,0)))</f>
        <v>0</v>
      </c>
      <c r="I190" s="31" t="n">
        <f aca="false">IF(A190="","",G190*(1+H190))</f>
        <v>2427541.75661686</v>
      </c>
    </row>
    <row r="191" customFormat="false" ht="15" hidden="false" customHeight="false" outlineLevel="0" collapsed="false">
      <c r="A191" s="33" t="n">
        <f aca="false">IF(186&gt;Sizing!$B$25,"",186)</f>
        <v>186</v>
      </c>
      <c r="B191" s="34" t="n">
        <f aca="false">IF(A191="","",EDATE(Inputs!$B$29,186-1))</f>
        <v>51987</v>
      </c>
      <c r="C191" s="35" t="n">
        <f aca="false">IF(A191="","",G190)</f>
        <v>2427541.75661686</v>
      </c>
      <c r="D191" s="35" t="n">
        <f aca="false">IF(A191="","",MIN(Sizing!$B$32,C191*(1+Sizing!$B$24/12)))</f>
        <v>22511.8172418543</v>
      </c>
      <c r="E191" s="35" t="n">
        <f aca="false">IF(A191="","",C191*Sizing!$B$24/12)</f>
        <v>14666.3981128935</v>
      </c>
      <c r="F191" s="35" t="n">
        <f aca="false">IF(A191="","",D191-E191)</f>
        <v>7845.41912896083</v>
      </c>
      <c r="G191" s="35" t="n">
        <f aca="false">IF(A191="","",MAX(0,C191-F191))</f>
        <v>2419696.33748789</v>
      </c>
      <c r="H191" s="36" t="n">
        <f aca="false">IF(A191="","",IF(Inputs!$B$35="5-4-3-2-1 step-down",MAX(0,6-ROUNDUP(A191/12,0))/100,IF(Inputs!$B$35="3-2-1 step-down",MAX(0,4-ROUNDUP(A191/12,0))/100,0)))</f>
        <v>0</v>
      </c>
      <c r="I191" s="35" t="n">
        <f aca="false">IF(A191="","",G191*(1+H191))</f>
        <v>2419696.33748789</v>
      </c>
    </row>
    <row r="192" customFormat="false" ht="15" hidden="false" customHeight="false" outlineLevel="0" collapsed="false">
      <c r="A192" s="29" t="n">
        <f aca="false">IF(187&gt;Sizing!$B$25,"",187)</f>
        <v>187</v>
      </c>
      <c r="B192" s="30" t="n">
        <f aca="false">IF(A192="","",EDATE(Inputs!$B$29,187-1))</f>
        <v>52018</v>
      </c>
      <c r="C192" s="31" t="n">
        <f aca="false">IF(A192="","",G191)</f>
        <v>2419696.33748789</v>
      </c>
      <c r="D192" s="31" t="n">
        <f aca="false">IF(A192="","",MIN(Sizing!$B$32,C192*(1+Sizing!$B$24/12)))</f>
        <v>22511.8172418543</v>
      </c>
      <c r="E192" s="31" t="n">
        <f aca="false">IF(A192="","",C192*Sizing!$B$24/12)</f>
        <v>14618.998705656</v>
      </c>
      <c r="F192" s="31" t="n">
        <f aca="false">IF(A192="","",D192-E192)</f>
        <v>7892.81853619831</v>
      </c>
      <c r="G192" s="31" t="n">
        <f aca="false">IF(A192="","",MAX(0,C192-F192))</f>
        <v>2411803.5189517</v>
      </c>
      <c r="H192" s="32" t="n">
        <f aca="false">IF(A192="","",IF(Inputs!$B$35="5-4-3-2-1 step-down",MAX(0,6-ROUNDUP(A192/12,0))/100,IF(Inputs!$B$35="3-2-1 step-down",MAX(0,4-ROUNDUP(A192/12,0))/100,0)))</f>
        <v>0</v>
      </c>
      <c r="I192" s="31" t="n">
        <f aca="false">IF(A192="","",G192*(1+H192))</f>
        <v>2411803.5189517</v>
      </c>
    </row>
    <row r="193" customFormat="false" ht="15" hidden="false" customHeight="false" outlineLevel="0" collapsed="false">
      <c r="A193" s="33" t="n">
        <f aca="false">IF(188&gt;Sizing!$B$25,"",188)</f>
        <v>188</v>
      </c>
      <c r="B193" s="34" t="n">
        <f aca="false">IF(A193="","",EDATE(Inputs!$B$29,188-1))</f>
        <v>52048</v>
      </c>
      <c r="C193" s="35" t="n">
        <f aca="false">IF(A193="","",G192)</f>
        <v>2411803.5189517</v>
      </c>
      <c r="D193" s="35" t="n">
        <f aca="false">IF(A193="","",MIN(Sizing!$B$32,C193*(1+Sizing!$B$24/12)))</f>
        <v>22511.8172418543</v>
      </c>
      <c r="E193" s="35" t="n">
        <f aca="false">IF(A193="","",C193*Sizing!$B$24/12)</f>
        <v>14571.3129269998</v>
      </c>
      <c r="F193" s="35" t="n">
        <f aca="false">IF(A193="","",D193-E193)</f>
        <v>7940.5043148545</v>
      </c>
      <c r="G193" s="35" t="n">
        <f aca="false">IF(A193="","",MAX(0,C193-F193))</f>
        <v>2403863.01463684</v>
      </c>
      <c r="H193" s="36" t="n">
        <f aca="false">IF(A193="","",IF(Inputs!$B$35="5-4-3-2-1 step-down",MAX(0,6-ROUNDUP(A193/12,0))/100,IF(Inputs!$B$35="3-2-1 step-down",MAX(0,4-ROUNDUP(A193/12,0))/100,0)))</f>
        <v>0</v>
      </c>
      <c r="I193" s="35" t="n">
        <f aca="false">IF(A193="","",G193*(1+H193))</f>
        <v>2403863.01463684</v>
      </c>
    </row>
    <row r="194" customFormat="false" ht="15" hidden="false" customHeight="false" outlineLevel="0" collapsed="false">
      <c r="A194" s="29" t="n">
        <f aca="false">IF(189&gt;Sizing!$B$25,"",189)</f>
        <v>189</v>
      </c>
      <c r="B194" s="30" t="n">
        <f aca="false">IF(A194="","",EDATE(Inputs!$B$29,189-1))</f>
        <v>52079</v>
      </c>
      <c r="C194" s="31" t="n">
        <f aca="false">IF(A194="","",G193)</f>
        <v>2403863.01463684</v>
      </c>
      <c r="D194" s="31" t="n">
        <f aca="false">IF(A194="","",MIN(Sizing!$B$32,C194*(1+Sizing!$B$24/12)))</f>
        <v>22511.8172418543</v>
      </c>
      <c r="E194" s="31" t="n">
        <f aca="false">IF(A194="","",C194*Sizing!$B$24/12)</f>
        <v>14523.3390467643</v>
      </c>
      <c r="F194" s="31" t="n">
        <f aca="false">IF(A194="","",D194-E194)</f>
        <v>7988.47819509008</v>
      </c>
      <c r="G194" s="31" t="n">
        <f aca="false">IF(A194="","",MAX(0,C194-F194))</f>
        <v>2395874.53644175</v>
      </c>
      <c r="H194" s="32" t="n">
        <f aca="false">IF(A194="","",IF(Inputs!$B$35="5-4-3-2-1 step-down",MAX(0,6-ROUNDUP(A194/12,0))/100,IF(Inputs!$B$35="3-2-1 step-down",MAX(0,4-ROUNDUP(A194/12,0))/100,0)))</f>
        <v>0</v>
      </c>
      <c r="I194" s="31" t="n">
        <f aca="false">IF(A194="","",G194*(1+H194))</f>
        <v>2395874.53644175</v>
      </c>
    </row>
    <row r="195" customFormat="false" ht="15" hidden="false" customHeight="false" outlineLevel="0" collapsed="false">
      <c r="A195" s="33" t="n">
        <f aca="false">IF(190&gt;Sizing!$B$25,"",190)</f>
        <v>190</v>
      </c>
      <c r="B195" s="34" t="n">
        <f aca="false">IF(A195="","",EDATE(Inputs!$B$29,190-1))</f>
        <v>52110</v>
      </c>
      <c r="C195" s="35" t="n">
        <f aca="false">IF(A195="","",G194)</f>
        <v>2395874.53644175</v>
      </c>
      <c r="D195" s="35" t="n">
        <f aca="false">IF(A195="","",MIN(Sizing!$B$32,C195*(1+Sizing!$B$24/12)))</f>
        <v>22511.8172418543</v>
      </c>
      <c r="E195" s="35" t="n">
        <f aca="false">IF(A195="","",C195*Sizing!$B$24/12)</f>
        <v>14475.0753243356</v>
      </c>
      <c r="F195" s="35" t="n">
        <f aca="false">IF(A195="","",D195-E195)</f>
        <v>8036.74191751875</v>
      </c>
      <c r="G195" s="35" t="n">
        <f aca="false">IF(A195="","",MAX(0,C195-F195))</f>
        <v>2387837.79452423</v>
      </c>
      <c r="H195" s="36" t="n">
        <f aca="false">IF(A195="","",IF(Inputs!$B$35="5-4-3-2-1 step-down",MAX(0,6-ROUNDUP(A195/12,0))/100,IF(Inputs!$B$35="3-2-1 step-down",MAX(0,4-ROUNDUP(A195/12,0))/100,0)))</f>
        <v>0</v>
      </c>
      <c r="I195" s="35" t="n">
        <f aca="false">IF(A195="","",G195*(1+H195))</f>
        <v>2387837.79452423</v>
      </c>
    </row>
    <row r="196" customFormat="false" ht="15" hidden="false" customHeight="false" outlineLevel="0" collapsed="false">
      <c r="A196" s="29" t="n">
        <f aca="false">IF(191&gt;Sizing!$B$25,"",191)</f>
        <v>191</v>
      </c>
      <c r="B196" s="30" t="n">
        <f aca="false">IF(A196="","",EDATE(Inputs!$B$29,191-1))</f>
        <v>52140</v>
      </c>
      <c r="C196" s="31" t="n">
        <f aca="false">IF(A196="","",G195)</f>
        <v>2387837.79452423</v>
      </c>
      <c r="D196" s="31" t="n">
        <f aca="false">IF(A196="","",MIN(Sizing!$B$32,C196*(1+Sizing!$B$24/12)))</f>
        <v>22511.8172418543</v>
      </c>
      <c r="E196" s="31" t="n">
        <f aca="false">IF(A196="","",C196*Sizing!$B$24/12)</f>
        <v>14426.5200085839</v>
      </c>
      <c r="F196" s="31" t="n">
        <f aca="false">IF(A196="","",D196-E196)</f>
        <v>8085.29723327043</v>
      </c>
      <c r="G196" s="31" t="n">
        <f aca="false">IF(A196="","",MAX(0,C196-F196))</f>
        <v>2379752.49729096</v>
      </c>
      <c r="H196" s="32" t="n">
        <f aca="false">IF(A196="","",IF(Inputs!$B$35="5-4-3-2-1 step-down",MAX(0,6-ROUNDUP(A196/12,0))/100,IF(Inputs!$B$35="3-2-1 step-down",MAX(0,4-ROUNDUP(A196/12,0))/100,0)))</f>
        <v>0</v>
      </c>
      <c r="I196" s="31" t="n">
        <f aca="false">IF(A196="","",G196*(1+H196))</f>
        <v>2379752.49729096</v>
      </c>
    </row>
    <row r="197" customFormat="false" ht="15" hidden="false" customHeight="false" outlineLevel="0" collapsed="false">
      <c r="A197" s="33" t="n">
        <f aca="false">IF(192&gt;Sizing!$B$25,"",192)</f>
        <v>192</v>
      </c>
      <c r="B197" s="34" t="n">
        <f aca="false">IF(A197="","",EDATE(Inputs!$B$29,192-1))</f>
        <v>52171</v>
      </c>
      <c r="C197" s="35" t="n">
        <f aca="false">IF(A197="","",G196)</f>
        <v>2379752.49729096</v>
      </c>
      <c r="D197" s="35" t="n">
        <f aca="false">IF(A197="","",MIN(Sizing!$B$32,C197*(1+Sizing!$B$24/12)))</f>
        <v>22511.8172418543</v>
      </c>
      <c r="E197" s="35" t="n">
        <f aca="false">IF(A197="","",C197*Sizing!$B$24/12)</f>
        <v>14377.6713377996</v>
      </c>
      <c r="F197" s="35" t="n">
        <f aca="false">IF(A197="","",D197-E197)</f>
        <v>8134.14590405477</v>
      </c>
      <c r="G197" s="35" t="n">
        <f aca="false">IF(A197="","",MAX(0,C197-F197))</f>
        <v>2371618.35138691</v>
      </c>
      <c r="H197" s="36" t="n">
        <f aca="false">IF(A197="","",IF(Inputs!$B$35="5-4-3-2-1 step-down",MAX(0,6-ROUNDUP(A197/12,0))/100,IF(Inputs!$B$35="3-2-1 step-down",MAX(0,4-ROUNDUP(A197/12,0))/100,0)))</f>
        <v>0</v>
      </c>
      <c r="I197" s="35" t="n">
        <f aca="false">IF(A197="","",G197*(1+H197))</f>
        <v>2371618.35138691</v>
      </c>
    </row>
    <row r="198" customFormat="false" ht="15" hidden="false" customHeight="false" outlineLevel="0" collapsed="false">
      <c r="A198" s="29" t="n">
        <f aca="false">IF(193&gt;Sizing!$B$25,"",193)</f>
        <v>193</v>
      </c>
      <c r="B198" s="30" t="n">
        <f aca="false">IF(A198="","",EDATE(Inputs!$B$29,193-1))</f>
        <v>52201</v>
      </c>
      <c r="C198" s="31" t="n">
        <f aca="false">IF(A198="","",G197)</f>
        <v>2371618.35138691</v>
      </c>
      <c r="D198" s="31" t="n">
        <f aca="false">IF(A198="","",MIN(Sizing!$B$32,C198*(1+Sizing!$B$24/12)))</f>
        <v>22511.8172418543</v>
      </c>
      <c r="E198" s="31" t="n">
        <f aca="false">IF(A198="","",C198*Sizing!$B$24/12)</f>
        <v>14328.5275396292</v>
      </c>
      <c r="F198" s="31" t="n">
        <f aca="false">IF(A198="","",D198-E198)</f>
        <v>8183.2897022251</v>
      </c>
      <c r="G198" s="31" t="n">
        <f aca="false">IF(A198="","",MAX(0,C198-F198))</f>
        <v>2363435.06168468</v>
      </c>
      <c r="H198" s="32" t="n">
        <f aca="false">IF(A198="","",IF(Inputs!$B$35="5-4-3-2-1 step-down",MAX(0,6-ROUNDUP(A198/12,0))/100,IF(Inputs!$B$35="3-2-1 step-down",MAX(0,4-ROUNDUP(A198/12,0))/100,0)))</f>
        <v>0</v>
      </c>
      <c r="I198" s="31" t="n">
        <f aca="false">IF(A198="","",G198*(1+H198))</f>
        <v>2363435.06168468</v>
      </c>
    </row>
    <row r="199" customFormat="false" ht="15" hidden="false" customHeight="false" outlineLevel="0" collapsed="false">
      <c r="A199" s="33" t="n">
        <f aca="false">IF(194&gt;Sizing!$B$25,"",194)</f>
        <v>194</v>
      </c>
      <c r="B199" s="34" t="n">
        <f aca="false">IF(A199="","",EDATE(Inputs!$B$29,194-1))</f>
        <v>52232</v>
      </c>
      <c r="C199" s="35" t="n">
        <f aca="false">IF(A199="","",G198)</f>
        <v>2363435.06168468</v>
      </c>
      <c r="D199" s="35" t="n">
        <f aca="false">IF(A199="","",MIN(Sizing!$B$32,C199*(1+Sizing!$B$24/12)))</f>
        <v>22511.8172418543</v>
      </c>
      <c r="E199" s="35" t="n">
        <f aca="false">IF(A199="","",C199*Sizing!$B$24/12)</f>
        <v>14279.0868310116</v>
      </c>
      <c r="F199" s="35" t="n">
        <f aca="false">IF(A199="","",D199-E199)</f>
        <v>8232.73041084271</v>
      </c>
      <c r="G199" s="35" t="n">
        <f aca="false">IF(A199="","",MAX(0,C199-F199))</f>
        <v>2355202.33127384</v>
      </c>
      <c r="H199" s="36" t="n">
        <f aca="false">IF(A199="","",IF(Inputs!$B$35="5-4-3-2-1 step-down",MAX(0,6-ROUNDUP(A199/12,0))/100,IF(Inputs!$B$35="3-2-1 step-down",MAX(0,4-ROUNDUP(A199/12,0))/100,0)))</f>
        <v>0</v>
      </c>
      <c r="I199" s="35" t="n">
        <f aca="false">IF(A199="","",G199*(1+H199))</f>
        <v>2355202.33127384</v>
      </c>
    </row>
    <row r="200" customFormat="false" ht="15" hidden="false" customHeight="false" outlineLevel="0" collapsed="false">
      <c r="A200" s="29" t="n">
        <f aca="false">IF(195&gt;Sizing!$B$25,"",195)</f>
        <v>195</v>
      </c>
      <c r="B200" s="30" t="n">
        <f aca="false">IF(A200="","",EDATE(Inputs!$B$29,195-1))</f>
        <v>52263</v>
      </c>
      <c r="C200" s="31" t="n">
        <f aca="false">IF(A200="","",G199)</f>
        <v>2355202.33127384</v>
      </c>
      <c r="D200" s="31" t="n">
        <f aca="false">IF(A200="","",MIN(Sizing!$B$32,C200*(1+Sizing!$B$24/12)))</f>
        <v>22511.8172418543</v>
      </c>
      <c r="E200" s="31" t="n">
        <f aca="false">IF(A200="","",C200*Sizing!$B$24/12)</f>
        <v>14229.3474181128</v>
      </c>
      <c r="F200" s="31" t="n">
        <f aca="false">IF(A200="","",D200-E200)</f>
        <v>8282.46982374155</v>
      </c>
      <c r="G200" s="31" t="n">
        <f aca="false">IF(A200="","",MAX(0,C200-F200))</f>
        <v>2346919.8614501</v>
      </c>
      <c r="H200" s="32" t="n">
        <f aca="false">IF(A200="","",IF(Inputs!$B$35="5-4-3-2-1 step-down",MAX(0,6-ROUNDUP(A200/12,0))/100,IF(Inputs!$B$35="3-2-1 step-down",MAX(0,4-ROUNDUP(A200/12,0))/100,0)))</f>
        <v>0</v>
      </c>
      <c r="I200" s="31" t="n">
        <f aca="false">IF(A200="","",G200*(1+H200))</f>
        <v>2346919.8614501</v>
      </c>
    </row>
    <row r="201" customFormat="false" ht="15" hidden="false" customHeight="false" outlineLevel="0" collapsed="false">
      <c r="A201" s="33" t="n">
        <f aca="false">IF(196&gt;Sizing!$B$25,"",196)</f>
        <v>196</v>
      </c>
      <c r="B201" s="34" t="n">
        <f aca="false">IF(A201="","",EDATE(Inputs!$B$29,196-1))</f>
        <v>52291</v>
      </c>
      <c r="C201" s="35" t="n">
        <f aca="false">IF(A201="","",G200)</f>
        <v>2346919.8614501</v>
      </c>
      <c r="D201" s="35" t="n">
        <f aca="false">IF(A201="","",MIN(Sizing!$B$32,C201*(1+Sizing!$B$24/12)))</f>
        <v>22511.8172418543</v>
      </c>
      <c r="E201" s="35" t="n">
        <f aca="false">IF(A201="","",C201*Sizing!$B$24/12)</f>
        <v>14179.307496261</v>
      </c>
      <c r="F201" s="35" t="n">
        <f aca="false">IF(A201="","",D201-E201)</f>
        <v>8332.50974559332</v>
      </c>
      <c r="G201" s="35" t="n">
        <f aca="false">IF(A201="","",MAX(0,C201-F201))</f>
        <v>2338587.35170451</v>
      </c>
      <c r="H201" s="36" t="n">
        <f aca="false">IF(A201="","",IF(Inputs!$B$35="5-4-3-2-1 step-down",MAX(0,6-ROUNDUP(A201/12,0))/100,IF(Inputs!$B$35="3-2-1 step-down",MAX(0,4-ROUNDUP(A201/12,0))/100,0)))</f>
        <v>0</v>
      </c>
      <c r="I201" s="35" t="n">
        <f aca="false">IF(A201="","",G201*(1+H201))</f>
        <v>2338587.35170451</v>
      </c>
    </row>
    <row r="202" customFormat="false" ht="15" hidden="false" customHeight="false" outlineLevel="0" collapsed="false">
      <c r="A202" s="29" t="n">
        <f aca="false">IF(197&gt;Sizing!$B$25,"",197)</f>
        <v>197</v>
      </c>
      <c r="B202" s="30" t="n">
        <f aca="false">IF(A202="","",EDATE(Inputs!$B$29,197-1))</f>
        <v>52322</v>
      </c>
      <c r="C202" s="31" t="n">
        <f aca="false">IF(A202="","",G201)</f>
        <v>2338587.35170451</v>
      </c>
      <c r="D202" s="31" t="n">
        <f aca="false">IF(A202="","",MIN(Sizing!$B$32,C202*(1+Sizing!$B$24/12)))</f>
        <v>22511.8172418543</v>
      </c>
      <c r="E202" s="31" t="n">
        <f aca="false">IF(A202="","",C202*Sizing!$B$24/12)</f>
        <v>14128.9652498814</v>
      </c>
      <c r="F202" s="31" t="n">
        <f aca="false">IF(A202="","",D202-E202)</f>
        <v>8382.85199197295</v>
      </c>
      <c r="G202" s="31" t="n">
        <f aca="false">IF(A202="","",MAX(0,C202-F202))</f>
        <v>2330204.49971253</v>
      </c>
      <c r="H202" s="32" t="n">
        <f aca="false">IF(A202="","",IF(Inputs!$B$35="5-4-3-2-1 step-down",MAX(0,6-ROUNDUP(A202/12,0))/100,IF(Inputs!$B$35="3-2-1 step-down",MAX(0,4-ROUNDUP(A202/12,0))/100,0)))</f>
        <v>0</v>
      </c>
      <c r="I202" s="31" t="n">
        <f aca="false">IF(A202="","",G202*(1+H202))</f>
        <v>2330204.49971253</v>
      </c>
    </row>
    <row r="203" customFormat="false" ht="15" hidden="false" customHeight="false" outlineLevel="0" collapsed="false">
      <c r="A203" s="33" t="n">
        <f aca="false">IF(198&gt;Sizing!$B$25,"",198)</f>
        <v>198</v>
      </c>
      <c r="B203" s="34" t="n">
        <f aca="false">IF(A203="","",EDATE(Inputs!$B$29,198-1))</f>
        <v>52352</v>
      </c>
      <c r="C203" s="35" t="n">
        <f aca="false">IF(A203="","",G202)</f>
        <v>2330204.49971253</v>
      </c>
      <c r="D203" s="35" t="n">
        <f aca="false">IF(A203="","",MIN(Sizing!$B$32,C203*(1+Sizing!$B$24/12)))</f>
        <v>22511.8172418543</v>
      </c>
      <c r="E203" s="35" t="n">
        <f aca="false">IF(A203="","",C203*Sizing!$B$24/12)</f>
        <v>14078.3188524299</v>
      </c>
      <c r="F203" s="35" t="n">
        <f aca="false">IF(A203="","",D203-E203)</f>
        <v>8433.49838942445</v>
      </c>
      <c r="G203" s="35" t="n">
        <f aca="false">IF(A203="","",MAX(0,C203-F203))</f>
        <v>2321771.00132311</v>
      </c>
      <c r="H203" s="36" t="n">
        <f aca="false">IF(A203="","",IF(Inputs!$B$35="5-4-3-2-1 step-down",MAX(0,6-ROUNDUP(A203/12,0))/100,IF(Inputs!$B$35="3-2-1 step-down",MAX(0,4-ROUNDUP(A203/12,0))/100,0)))</f>
        <v>0</v>
      </c>
      <c r="I203" s="35" t="n">
        <f aca="false">IF(A203="","",G203*(1+H203))</f>
        <v>2321771.00132311</v>
      </c>
    </row>
    <row r="204" customFormat="false" ht="15" hidden="false" customHeight="false" outlineLevel="0" collapsed="false">
      <c r="A204" s="29" t="n">
        <f aca="false">IF(199&gt;Sizing!$B$25,"",199)</f>
        <v>199</v>
      </c>
      <c r="B204" s="30" t="n">
        <f aca="false">IF(A204="","",EDATE(Inputs!$B$29,199-1))</f>
        <v>52383</v>
      </c>
      <c r="C204" s="31" t="n">
        <f aca="false">IF(A204="","",G203)</f>
        <v>2321771.00132311</v>
      </c>
      <c r="D204" s="31" t="n">
        <f aca="false">IF(A204="","",MIN(Sizing!$B$32,C204*(1+Sizing!$B$24/12)))</f>
        <v>22511.8172418543</v>
      </c>
      <c r="E204" s="31" t="n">
        <f aca="false">IF(A204="","",C204*Sizing!$B$24/12)</f>
        <v>14027.3664663271</v>
      </c>
      <c r="F204" s="31" t="n">
        <f aca="false">IF(A204="","",D204-E204)</f>
        <v>8484.45077552722</v>
      </c>
      <c r="G204" s="31" t="n">
        <f aca="false">IF(A204="","",MAX(0,C204-F204))</f>
        <v>2313286.55054758</v>
      </c>
      <c r="H204" s="32" t="n">
        <f aca="false">IF(A204="","",IF(Inputs!$B$35="5-4-3-2-1 step-down",MAX(0,6-ROUNDUP(A204/12,0))/100,IF(Inputs!$B$35="3-2-1 step-down",MAX(0,4-ROUNDUP(A204/12,0))/100,0)))</f>
        <v>0</v>
      </c>
      <c r="I204" s="31" t="n">
        <f aca="false">IF(A204="","",G204*(1+H204))</f>
        <v>2313286.55054758</v>
      </c>
    </row>
    <row r="205" customFormat="false" ht="15" hidden="false" customHeight="false" outlineLevel="0" collapsed="false">
      <c r="A205" s="33" t="n">
        <f aca="false">IF(200&gt;Sizing!$B$25,"",200)</f>
        <v>200</v>
      </c>
      <c r="B205" s="34" t="n">
        <f aca="false">IF(A205="","",EDATE(Inputs!$B$29,200-1))</f>
        <v>52413</v>
      </c>
      <c r="C205" s="35" t="n">
        <f aca="false">IF(A205="","",G204)</f>
        <v>2313286.55054758</v>
      </c>
      <c r="D205" s="35" t="n">
        <f aca="false">IF(A205="","",MIN(Sizing!$B$32,C205*(1+Sizing!$B$24/12)))</f>
        <v>22511.8172418543</v>
      </c>
      <c r="E205" s="35" t="n">
        <f aca="false">IF(A205="","",C205*Sizing!$B$24/12)</f>
        <v>13976.1062428916</v>
      </c>
      <c r="F205" s="35" t="n">
        <f aca="false">IF(A205="","",D205-E205)</f>
        <v>8535.7109989627</v>
      </c>
      <c r="G205" s="35" t="n">
        <f aca="false">IF(A205="","",MAX(0,C205-F205))</f>
        <v>2304750.83954862</v>
      </c>
      <c r="H205" s="36" t="n">
        <f aca="false">IF(A205="","",IF(Inputs!$B$35="5-4-3-2-1 step-down",MAX(0,6-ROUNDUP(A205/12,0))/100,IF(Inputs!$B$35="3-2-1 step-down",MAX(0,4-ROUNDUP(A205/12,0))/100,0)))</f>
        <v>0</v>
      </c>
      <c r="I205" s="35" t="n">
        <f aca="false">IF(A205="","",G205*(1+H205))</f>
        <v>2304750.83954862</v>
      </c>
    </row>
    <row r="206" customFormat="false" ht="15" hidden="false" customHeight="false" outlineLevel="0" collapsed="false">
      <c r="A206" s="29" t="n">
        <f aca="false">IF(201&gt;Sizing!$B$25,"",201)</f>
        <v>201</v>
      </c>
      <c r="B206" s="30" t="n">
        <f aca="false">IF(A206="","",EDATE(Inputs!$B$29,201-1))</f>
        <v>52444</v>
      </c>
      <c r="C206" s="31" t="n">
        <f aca="false">IF(A206="","",G205)</f>
        <v>2304750.83954862</v>
      </c>
      <c r="D206" s="31" t="n">
        <f aca="false">IF(A206="","",MIN(Sizing!$B$32,C206*(1+Sizing!$B$24/12)))</f>
        <v>22511.8172418543</v>
      </c>
      <c r="E206" s="31" t="n">
        <f aca="false">IF(A206="","",C206*Sizing!$B$24/12)</f>
        <v>13924.5363222729</v>
      </c>
      <c r="F206" s="31" t="n">
        <f aca="false">IF(A206="","",D206-E206)</f>
        <v>8587.28091958143</v>
      </c>
      <c r="G206" s="31" t="n">
        <f aca="false">IF(A206="","",MAX(0,C206-F206))</f>
        <v>2296163.55862904</v>
      </c>
      <c r="H206" s="32" t="n">
        <f aca="false">IF(A206="","",IF(Inputs!$B$35="5-4-3-2-1 step-down",MAX(0,6-ROUNDUP(A206/12,0))/100,IF(Inputs!$B$35="3-2-1 step-down",MAX(0,4-ROUNDUP(A206/12,0))/100,0)))</f>
        <v>0</v>
      </c>
      <c r="I206" s="31" t="n">
        <f aca="false">IF(A206="","",G206*(1+H206))</f>
        <v>2296163.55862904</v>
      </c>
    </row>
    <row r="207" customFormat="false" ht="15" hidden="false" customHeight="false" outlineLevel="0" collapsed="false">
      <c r="A207" s="33" t="n">
        <f aca="false">IF(202&gt;Sizing!$B$25,"",202)</f>
        <v>202</v>
      </c>
      <c r="B207" s="34" t="n">
        <f aca="false">IF(A207="","",EDATE(Inputs!$B$29,202-1))</f>
        <v>52475</v>
      </c>
      <c r="C207" s="35" t="n">
        <f aca="false">IF(A207="","",G206)</f>
        <v>2296163.55862904</v>
      </c>
      <c r="D207" s="35" t="n">
        <f aca="false">IF(A207="","",MIN(Sizing!$B$32,C207*(1+Sizing!$B$24/12)))</f>
        <v>22511.8172418543</v>
      </c>
      <c r="E207" s="35" t="n">
        <f aca="false">IF(A207="","",C207*Sizing!$B$24/12)</f>
        <v>13872.6548333838</v>
      </c>
      <c r="F207" s="35" t="n">
        <f aca="false">IF(A207="","",D207-E207)</f>
        <v>8639.16240847057</v>
      </c>
      <c r="G207" s="35" t="n">
        <f aca="false">IF(A207="","",MAX(0,C207-F207))</f>
        <v>2287524.39622057</v>
      </c>
      <c r="H207" s="36" t="n">
        <f aca="false">IF(A207="","",IF(Inputs!$B$35="5-4-3-2-1 step-down",MAX(0,6-ROUNDUP(A207/12,0))/100,IF(Inputs!$B$35="3-2-1 step-down",MAX(0,4-ROUNDUP(A207/12,0))/100,0)))</f>
        <v>0</v>
      </c>
      <c r="I207" s="35" t="n">
        <f aca="false">IF(A207="","",G207*(1+H207))</f>
        <v>2287524.39622057</v>
      </c>
    </row>
    <row r="208" customFormat="false" ht="15" hidden="false" customHeight="false" outlineLevel="0" collapsed="false">
      <c r="A208" s="29" t="n">
        <f aca="false">IF(203&gt;Sizing!$B$25,"",203)</f>
        <v>203</v>
      </c>
      <c r="B208" s="30" t="n">
        <f aca="false">IF(A208="","",EDATE(Inputs!$B$29,203-1))</f>
        <v>52505</v>
      </c>
      <c r="C208" s="31" t="n">
        <f aca="false">IF(A208="","",G207)</f>
        <v>2287524.39622057</v>
      </c>
      <c r="D208" s="31" t="n">
        <f aca="false">IF(A208="","",MIN(Sizing!$B$32,C208*(1+Sizing!$B$24/12)))</f>
        <v>22511.8172418543</v>
      </c>
      <c r="E208" s="31" t="n">
        <f aca="false">IF(A208="","",C208*Sizing!$B$24/12)</f>
        <v>13820.4598938326</v>
      </c>
      <c r="F208" s="31" t="n">
        <f aca="false">IF(A208="","",D208-E208)</f>
        <v>8691.35734802175</v>
      </c>
      <c r="G208" s="31" t="n">
        <f aca="false">IF(A208="","",MAX(0,C208-F208))</f>
        <v>2278833.03887254</v>
      </c>
      <c r="H208" s="32" t="n">
        <f aca="false">IF(A208="","",IF(Inputs!$B$35="5-4-3-2-1 step-down",MAX(0,6-ROUNDUP(A208/12,0))/100,IF(Inputs!$B$35="3-2-1 step-down",MAX(0,4-ROUNDUP(A208/12,0))/100,0)))</f>
        <v>0</v>
      </c>
      <c r="I208" s="31" t="n">
        <f aca="false">IF(A208="","",G208*(1+H208))</f>
        <v>2278833.03887254</v>
      </c>
    </row>
    <row r="209" customFormat="false" ht="15" hidden="false" customHeight="false" outlineLevel="0" collapsed="false">
      <c r="A209" s="33" t="n">
        <f aca="false">IF(204&gt;Sizing!$B$25,"",204)</f>
        <v>204</v>
      </c>
      <c r="B209" s="34" t="n">
        <f aca="false">IF(A209="","",EDATE(Inputs!$B$29,204-1))</f>
        <v>52536</v>
      </c>
      <c r="C209" s="35" t="n">
        <f aca="false">IF(A209="","",G208)</f>
        <v>2278833.03887254</v>
      </c>
      <c r="D209" s="35" t="n">
        <f aca="false">IF(A209="","",MIN(Sizing!$B$32,C209*(1+Sizing!$B$24/12)))</f>
        <v>22511.8172418543</v>
      </c>
      <c r="E209" s="35" t="n">
        <f aca="false">IF(A209="","",C209*Sizing!$B$24/12)</f>
        <v>13767.949609855</v>
      </c>
      <c r="F209" s="35" t="n">
        <f aca="false">IF(A209="","",D209-E209)</f>
        <v>8743.86763199938</v>
      </c>
      <c r="G209" s="35" t="n">
        <f aca="false">IF(A209="","",MAX(0,C209-F209))</f>
        <v>2270089.17124055</v>
      </c>
      <c r="H209" s="36" t="n">
        <f aca="false">IF(A209="","",IF(Inputs!$B$35="5-4-3-2-1 step-down",MAX(0,6-ROUNDUP(A209/12,0))/100,IF(Inputs!$B$35="3-2-1 step-down",MAX(0,4-ROUNDUP(A209/12,0))/100,0)))</f>
        <v>0</v>
      </c>
      <c r="I209" s="35" t="n">
        <f aca="false">IF(A209="","",G209*(1+H209))</f>
        <v>2270089.17124055</v>
      </c>
    </row>
    <row r="210" customFormat="false" ht="15" hidden="false" customHeight="false" outlineLevel="0" collapsed="false">
      <c r="A210" s="29" t="n">
        <f aca="false">IF(205&gt;Sizing!$B$25,"",205)</f>
        <v>205</v>
      </c>
      <c r="B210" s="30" t="n">
        <f aca="false">IF(A210="","",EDATE(Inputs!$B$29,205-1))</f>
        <v>52566</v>
      </c>
      <c r="C210" s="31" t="n">
        <f aca="false">IF(A210="","",G209)</f>
        <v>2270089.17124055</v>
      </c>
      <c r="D210" s="31" t="n">
        <f aca="false">IF(A210="","",MIN(Sizing!$B$32,C210*(1+Sizing!$B$24/12)))</f>
        <v>22511.8172418543</v>
      </c>
      <c r="E210" s="31" t="n">
        <f aca="false">IF(A210="","",C210*Sizing!$B$24/12)</f>
        <v>13715.122076245</v>
      </c>
      <c r="F210" s="31" t="n">
        <f aca="false">IF(A210="","",D210-E210)</f>
        <v>8796.69516560938</v>
      </c>
      <c r="G210" s="31" t="n">
        <f aca="false">IF(A210="","",MAX(0,C210-F210))</f>
        <v>2261292.47607494</v>
      </c>
      <c r="H210" s="32" t="n">
        <f aca="false">IF(A210="","",IF(Inputs!$B$35="5-4-3-2-1 step-down",MAX(0,6-ROUNDUP(A210/12,0))/100,IF(Inputs!$B$35="3-2-1 step-down",MAX(0,4-ROUNDUP(A210/12,0))/100,0)))</f>
        <v>0</v>
      </c>
      <c r="I210" s="31" t="n">
        <f aca="false">IF(A210="","",G210*(1+H210))</f>
        <v>2261292.47607494</v>
      </c>
    </row>
    <row r="211" customFormat="false" ht="15" hidden="false" customHeight="false" outlineLevel="0" collapsed="false">
      <c r="A211" s="33" t="n">
        <f aca="false">IF(206&gt;Sizing!$B$25,"",206)</f>
        <v>206</v>
      </c>
      <c r="B211" s="34" t="n">
        <f aca="false">IF(A211="","",EDATE(Inputs!$B$29,206-1))</f>
        <v>52597</v>
      </c>
      <c r="C211" s="35" t="n">
        <f aca="false">IF(A211="","",G210)</f>
        <v>2261292.47607494</v>
      </c>
      <c r="D211" s="35" t="n">
        <f aca="false">IF(A211="","",MIN(Sizing!$B$32,C211*(1+Sizing!$B$24/12)))</f>
        <v>22511.8172418543</v>
      </c>
      <c r="E211" s="35" t="n">
        <f aca="false">IF(A211="","",C211*Sizing!$B$24/12)</f>
        <v>13661.9753762861</v>
      </c>
      <c r="F211" s="35" t="n">
        <f aca="false">IF(A211="","",D211-E211)</f>
        <v>8849.84186556827</v>
      </c>
      <c r="G211" s="35" t="n">
        <f aca="false">IF(A211="","",MAX(0,C211-F211))</f>
        <v>2252442.63420937</v>
      </c>
      <c r="H211" s="36" t="n">
        <f aca="false">IF(A211="","",IF(Inputs!$B$35="5-4-3-2-1 step-down",MAX(0,6-ROUNDUP(A211/12,0))/100,IF(Inputs!$B$35="3-2-1 step-down",MAX(0,4-ROUNDUP(A211/12,0))/100,0)))</f>
        <v>0</v>
      </c>
      <c r="I211" s="35" t="n">
        <f aca="false">IF(A211="","",G211*(1+H211))</f>
        <v>2252442.63420937</v>
      </c>
    </row>
    <row r="212" customFormat="false" ht="15" hidden="false" customHeight="false" outlineLevel="0" collapsed="false">
      <c r="A212" s="29" t="n">
        <f aca="false">IF(207&gt;Sizing!$B$25,"",207)</f>
        <v>207</v>
      </c>
      <c r="B212" s="30" t="n">
        <f aca="false">IF(A212="","",EDATE(Inputs!$B$29,207-1))</f>
        <v>52628</v>
      </c>
      <c r="C212" s="31" t="n">
        <f aca="false">IF(A212="","",G211)</f>
        <v>2252442.63420937</v>
      </c>
      <c r="D212" s="31" t="n">
        <f aca="false">IF(A212="","",MIN(Sizing!$B$32,C212*(1+Sizing!$B$24/12)))</f>
        <v>22511.8172418543</v>
      </c>
      <c r="E212" s="31" t="n">
        <f aca="false">IF(A212="","",C212*Sizing!$B$24/12)</f>
        <v>13608.5075816816</v>
      </c>
      <c r="F212" s="31" t="n">
        <f aca="false">IF(A212="","",D212-E212)</f>
        <v>8903.30966017274</v>
      </c>
      <c r="G212" s="31" t="n">
        <f aca="false">IF(A212="","",MAX(0,C212-F212))</f>
        <v>2243539.32454919</v>
      </c>
      <c r="H212" s="32" t="n">
        <f aca="false">IF(A212="","",IF(Inputs!$B$35="5-4-3-2-1 step-down",MAX(0,6-ROUNDUP(A212/12,0))/100,IF(Inputs!$B$35="3-2-1 step-down",MAX(0,4-ROUNDUP(A212/12,0))/100,0)))</f>
        <v>0</v>
      </c>
      <c r="I212" s="31" t="n">
        <f aca="false">IF(A212="","",G212*(1+H212))</f>
        <v>2243539.32454919</v>
      </c>
    </row>
    <row r="213" customFormat="false" ht="15" hidden="false" customHeight="false" outlineLevel="0" collapsed="false">
      <c r="A213" s="33" t="n">
        <f aca="false">IF(208&gt;Sizing!$B$25,"",208)</f>
        <v>208</v>
      </c>
      <c r="B213" s="34" t="n">
        <f aca="false">IF(A213="","",EDATE(Inputs!$B$29,208-1))</f>
        <v>52657</v>
      </c>
      <c r="C213" s="35" t="n">
        <f aca="false">IF(A213="","",G212)</f>
        <v>2243539.32454919</v>
      </c>
      <c r="D213" s="35" t="n">
        <f aca="false">IF(A213="","",MIN(Sizing!$B$32,C213*(1+Sizing!$B$24/12)))</f>
        <v>22511.8172418543</v>
      </c>
      <c r="E213" s="35" t="n">
        <f aca="false">IF(A213="","",C213*Sizing!$B$24/12)</f>
        <v>13554.7167524847</v>
      </c>
      <c r="F213" s="35" t="n">
        <f aca="false">IF(A213="","",D213-E213)</f>
        <v>8957.10048936962</v>
      </c>
      <c r="G213" s="35" t="n">
        <f aca="false">IF(A213="","",MAX(0,C213-F213))</f>
        <v>2234582.22405983</v>
      </c>
      <c r="H213" s="36" t="n">
        <f aca="false">IF(A213="","",IF(Inputs!$B$35="5-4-3-2-1 step-down",MAX(0,6-ROUNDUP(A213/12,0))/100,IF(Inputs!$B$35="3-2-1 step-down",MAX(0,4-ROUNDUP(A213/12,0))/100,0)))</f>
        <v>0</v>
      </c>
      <c r="I213" s="35" t="n">
        <f aca="false">IF(A213="","",G213*(1+H213))</f>
        <v>2234582.22405983</v>
      </c>
    </row>
    <row r="214" customFormat="false" ht="15" hidden="false" customHeight="false" outlineLevel="0" collapsed="false">
      <c r="A214" s="29" t="n">
        <f aca="false">IF(209&gt;Sizing!$B$25,"",209)</f>
        <v>209</v>
      </c>
      <c r="B214" s="30" t="n">
        <f aca="false">IF(A214="","",EDATE(Inputs!$B$29,209-1))</f>
        <v>52688</v>
      </c>
      <c r="C214" s="31" t="n">
        <f aca="false">IF(A214="","",G213)</f>
        <v>2234582.22405983</v>
      </c>
      <c r="D214" s="31" t="n">
        <f aca="false">IF(A214="","",MIN(Sizing!$B$32,C214*(1+Sizing!$B$24/12)))</f>
        <v>22511.8172418543</v>
      </c>
      <c r="E214" s="31" t="n">
        <f aca="false">IF(A214="","",C214*Sizing!$B$24/12)</f>
        <v>13500.6009370281</v>
      </c>
      <c r="F214" s="31" t="n">
        <f aca="false">IF(A214="","",D214-E214)</f>
        <v>9011.21630482623</v>
      </c>
      <c r="G214" s="31" t="n">
        <f aca="false">IF(A214="","",MAX(0,C214-F214))</f>
        <v>2225571.007755</v>
      </c>
      <c r="H214" s="32" t="n">
        <f aca="false">IF(A214="","",IF(Inputs!$B$35="5-4-3-2-1 step-down",MAX(0,6-ROUNDUP(A214/12,0))/100,IF(Inputs!$B$35="3-2-1 step-down",MAX(0,4-ROUNDUP(A214/12,0))/100,0)))</f>
        <v>0</v>
      </c>
      <c r="I214" s="31" t="n">
        <f aca="false">IF(A214="","",G214*(1+H214))</f>
        <v>2225571.007755</v>
      </c>
    </row>
    <row r="215" customFormat="false" ht="15" hidden="false" customHeight="false" outlineLevel="0" collapsed="false">
      <c r="A215" s="33" t="n">
        <f aca="false">IF(210&gt;Sizing!$B$25,"",210)</f>
        <v>210</v>
      </c>
      <c r="B215" s="34" t="n">
        <f aca="false">IF(A215="","",EDATE(Inputs!$B$29,210-1))</f>
        <v>52718</v>
      </c>
      <c r="C215" s="35" t="n">
        <f aca="false">IF(A215="","",G214)</f>
        <v>2225571.007755</v>
      </c>
      <c r="D215" s="35" t="n">
        <f aca="false">IF(A215="","",MIN(Sizing!$B$32,C215*(1+Sizing!$B$24/12)))</f>
        <v>22511.8172418543</v>
      </c>
      <c r="E215" s="35" t="n">
        <f aca="false">IF(A215="","",C215*Sizing!$B$24/12)</f>
        <v>13446.1581718531</v>
      </c>
      <c r="F215" s="35" t="n">
        <f aca="false">IF(A215="","",D215-E215)</f>
        <v>9065.65907000122</v>
      </c>
      <c r="G215" s="35" t="n">
        <f aca="false">IF(A215="","",MAX(0,C215-F215))</f>
        <v>2216505.348685</v>
      </c>
      <c r="H215" s="36" t="n">
        <f aca="false">IF(A215="","",IF(Inputs!$B$35="5-4-3-2-1 step-down",MAX(0,6-ROUNDUP(A215/12,0))/100,IF(Inputs!$B$35="3-2-1 step-down",MAX(0,4-ROUNDUP(A215/12,0))/100,0)))</f>
        <v>0</v>
      </c>
      <c r="I215" s="35" t="n">
        <f aca="false">IF(A215="","",G215*(1+H215))</f>
        <v>2216505.348685</v>
      </c>
    </row>
    <row r="216" customFormat="false" ht="15" hidden="false" customHeight="false" outlineLevel="0" collapsed="false">
      <c r="A216" s="29" t="n">
        <f aca="false">IF(211&gt;Sizing!$B$25,"",211)</f>
        <v>211</v>
      </c>
      <c r="B216" s="30" t="n">
        <f aca="false">IF(A216="","",EDATE(Inputs!$B$29,211-1))</f>
        <v>52749</v>
      </c>
      <c r="C216" s="31" t="n">
        <f aca="false">IF(A216="","",G215)</f>
        <v>2216505.348685</v>
      </c>
      <c r="D216" s="31" t="n">
        <f aca="false">IF(A216="","",MIN(Sizing!$B$32,C216*(1+Sizing!$B$24/12)))</f>
        <v>22511.8172418543</v>
      </c>
      <c r="E216" s="31" t="n">
        <f aca="false">IF(A216="","",C216*Sizing!$B$24/12)</f>
        <v>13391.3864816385</v>
      </c>
      <c r="F216" s="31" t="n">
        <f aca="false">IF(A216="","",D216-E216)</f>
        <v>9120.43076021581</v>
      </c>
      <c r="G216" s="31" t="n">
        <f aca="false">IF(A216="","",MAX(0,C216-F216))</f>
        <v>2207384.91792478</v>
      </c>
      <c r="H216" s="32" t="n">
        <f aca="false">IF(A216="","",IF(Inputs!$B$35="5-4-3-2-1 step-down",MAX(0,6-ROUNDUP(A216/12,0))/100,IF(Inputs!$B$35="3-2-1 step-down",MAX(0,4-ROUNDUP(A216/12,0))/100,0)))</f>
        <v>0</v>
      </c>
      <c r="I216" s="31" t="n">
        <f aca="false">IF(A216="","",G216*(1+H216))</f>
        <v>2207384.91792478</v>
      </c>
    </row>
    <row r="217" customFormat="false" ht="15" hidden="false" customHeight="false" outlineLevel="0" collapsed="false">
      <c r="A217" s="33" t="n">
        <f aca="false">IF(212&gt;Sizing!$B$25,"",212)</f>
        <v>212</v>
      </c>
      <c r="B217" s="34" t="n">
        <f aca="false">IF(A217="","",EDATE(Inputs!$B$29,212-1))</f>
        <v>52779</v>
      </c>
      <c r="C217" s="35" t="n">
        <f aca="false">IF(A217="","",G216)</f>
        <v>2207384.91792478</v>
      </c>
      <c r="D217" s="35" t="n">
        <f aca="false">IF(A217="","",MIN(Sizing!$B$32,C217*(1+Sizing!$B$24/12)))</f>
        <v>22511.8172418543</v>
      </c>
      <c r="E217" s="35" t="n">
        <f aca="false">IF(A217="","",C217*Sizing!$B$24/12)</f>
        <v>13336.2838791289</v>
      </c>
      <c r="F217" s="35" t="n">
        <f aca="false">IF(A217="","",D217-E217)</f>
        <v>9175.53336272545</v>
      </c>
      <c r="G217" s="35" t="n">
        <f aca="false">IF(A217="","",MAX(0,C217-F217))</f>
        <v>2198209.38456206</v>
      </c>
      <c r="H217" s="36" t="n">
        <f aca="false">IF(A217="","",IF(Inputs!$B$35="5-4-3-2-1 step-down",MAX(0,6-ROUNDUP(A217/12,0))/100,IF(Inputs!$B$35="3-2-1 step-down",MAX(0,4-ROUNDUP(A217/12,0))/100,0)))</f>
        <v>0</v>
      </c>
      <c r="I217" s="35" t="n">
        <f aca="false">IF(A217="","",G217*(1+H217))</f>
        <v>2198209.38456206</v>
      </c>
    </row>
    <row r="218" customFormat="false" ht="15" hidden="false" customHeight="false" outlineLevel="0" collapsed="false">
      <c r="A218" s="29" t="n">
        <f aca="false">IF(213&gt;Sizing!$B$25,"",213)</f>
        <v>213</v>
      </c>
      <c r="B218" s="30" t="n">
        <f aca="false">IF(A218="","",EDATE(Inputs!$B$29,213-1))</f>
        <v>52810</v>
      </c>
      <c r="C218" s="31" t="n">
        <f aca="false">IF(A218="","",G217)</f>
        <v>2198209.38456206</v>
      </c>
      <c r="D218" s="31" t="n">
        <f aca="false">IF(A218="","",MIN(Sizing!$B$32,C218*(1+Sizing!$B$24/12)))</f>
        <v>22511.8172418543</v>
      </c>
      <c r="E218" s="31" t="n">
        <f aca="false">IF(A218="","",C218*Sizing!$B$24/12)</f>
        <v>13280.8483650624</v>
      </c>
      <c r="F218" s="31" t="n">
        <f aca="false">IF(A218="","",D218-E218)</f>
        <v>9230.96887679191</v>
      </c>
      <c r="G218" s="31" t="n">
        <f aca="false">IF(A218="","",MAX(0,C218-F218))</f>
        <v>2188978.41568526</v>
      </c>
      <c r="H218" s="32" t="n">
        <f aca="false">IF(A218="","",IF(Inputs!$B$35="5-4-3-2-1 step-down",MAX(0,6-ROUNDUP(A218/12,0))/100,IF(Inputs!$B$35="3-2-1 step-down",MAX(0,4-ROUNDUP(A218/12,0))/100,0)))</f>
        <v>0</v>
      </c>
      <c r="I218" s="31" t="n">
        <f aca="false">IF(A218="","",G218*(1+H218))</f>
        <v>2188978.41568526</v>
      </c>
    </row>
    <row r="219" customFormat="false" ht="15" hidden="false" customHeight="false" outlineLevel="0" collapsed="false">
      <c r="A219" s="33" t="n">
        <f aca="false">IF(214&gt;Sizing!$B$25,"",214)</f>
        <v>214</v>
      </c>
      <c r="B219" s="34" t="n">
        <f aca="false">IF(A219="","",EDATE(Inputs!$B$29,214-1))</f>
        <v>52841</v>
      </c>
      <c r="C219" s="35" t="n">
        <f aca="false">IF(A219="","",G218)</f>
        <v>2188978.41568526</v>
      </c>
      <c r="D219" s="35" t="n">
        <f aca="false">IF(A219="","",MIN(Sizing!$B$32,C219*(1+Sizing!$B$24/12)))</f>
        <v>22511.8172418543</v>
      </c>
      <c r="E219" s="35" t="n">
        <f aca="false">IF(A219="","",C219*Sizing!$B$24/12)</f>
        <v>13225.0779280985</v>
      </c>
      <c r="F219" s="35" t="n">
        <f aca="false">IF(A219="","",D219-E219)</f>
        <v>9286.73931375586</v>
      </c>
      <c r="G219" s="35" t="n">
        <f aca="false">IF(A219="","",MAX(0,C219-F219))</f>
        <v>2179691.67637151</v>
      </c>
      <c r="H219" s="36" t="n">
        <f aca="false">IF(A219="","",IF(Inputs!$B$35="5-4-3-2-1 step-down",MAX(0,6-ROUNDUP(A219/12,0))/100,IF(Inputs!$B$35="3-2-1 step-down",MAX(0,4-ROUNDUP(A219/12,0))/100,0)))</f>
        <v>0</v>
      </c>
      <c r="I219" s="35" t="n">
        <f aca="false">IF(A219="","",G219*(1+H219))</f>
        <v>2179691.67637151</v>
      </c>
    </row>
    <row r="220" customFormat="false" ht="15" hidden="false" customHeight="false" outlineLevel="0" collapsed="false">
      <c r="A220" s="29" t="n">
        <f aca="false">IF(215&gt;Sizing!$B$25,"",215)</f>
        <v>215</v>
      </c>
      <c r="B220" s="30" t="n">
        <f aca="false">IF(A220="","",EDATE(Inputs!$B$29,215-1))</f>
        <v>52871</v>
      </c>
      <c r="C220" s="31" t="n">
        <f aca="false">IF(A220="","",G219)</f>
        <v>2179691.67637151</v>
      </c>
      <c r="D220" s="31" t="n">
        <f aca="false">IF(A220="","",MIN(Sizing!$B$32,C220*(1+Sizing!$B$24/12)))</f>
        <v>22511.8172418543</v>
      </c>
      <c r="E220" s="31" t="n">
        <f aca="false">IF(A220="","",C220*Sizing!$B$24/12)</f>
        <v>13168.9705447445</v>
      </c>
      <c r="F220" s="31" t="n">
        <f aca="false">IF(A220="","",D220-E220)</f>
        <v>9342.8466971098</v>
      </c>
      <c r="G220" s="31" t="n">
        <f aca="false">IF(A220="","",MAX(0,C220-F220))</f>
        <v>2170348.8296744</v>
      </c>
      <c r="H220" s="32" t="n">
        <f aca="false">IF(A220="","",IF(Inputs!$B$35="5-4-3-2-1 step-down",MAX(0,6-ROUNDUP(A220/12,0))/100,IF(Inputs!$B$35="3-2-1 step-down",MAX(0,4-ROUNDUP(A220/12,0))/100,0)))</f>
        <v>0</v>
      </c>
      <c r="I220" s="31" t="n">
        <f aca="false">IF(A220="","",G220*(1+H220))</f>
        <v>2170348.8296744</v>
      </c>
    </row>
    <row r="221" customFormat="false" ht="15" hidden="false" customHeight="false" outlineLevel="0" collapsed="false">
      <c r="A221" s="33" t="n">
        <f aca="false">IF(216&gt;Sizing!$B$25,"",216)</f>
        <v>216</v>
      </c>
      <c r="B221" s="34" t="n">
        <f aca="false">IF(A221="","",EDATE(Inputs!$B$29,216-1))</f>
        <v>52902</v>
      </c>
      <c r="C221" s="35" t="n">
        <f aca="false">IF(A221="","",G220)</f>
        <v>2170348.8296744</v>
      </c>
      <c r="D221" s="35" t="n">
        <f aca="false">IF(A221="","",MIN(Sizing!$B$32,C221*(1+Sizing!$B$24/12)))</f>
        <v>22511.8172418543</v>
      </c>
      <c r="E221" s="35" t="n">
        <f aca="false">IF(A221="","",C221*Sizing!$B$24/12)</f>
        <v>13112.5241792828</v>
      </c>
      <c r="F221" s="35" t="n">
        <f aca="false">IF(A221="","",D221-E221)</f>
        <v>9399.29306257151</v>
      </c>
      <c r="G221" s="35" t="n">
        <f aca="false">IF(A221="","",MAX(0,C221-F221))</f>
        <v>2160949.53661183</v>
      </c>
      <c r="H221" s="36" t="n">
        <f aca="false">IF(A221="","",IF(Inputs!$B$35="5-4-3-2-1 step-down",MAX(0,6-ROUNDUP(A221/12,0))/100,IF(Inputs!$B$35="3-2-1 step-down",MAX(0,4-ROUNDUP(A221/12,0))/100,0)))</f>
        <v>0</v>
      </c>
      <c r="I221" s="35" t="n">
        <f aca="false">IF(A221="","",G221*(1+H221))</f>
        <v>2160949.53661183</v>
      </c>
    </row>
    <row r="222" customFormat="false" ht="15" hidden="false" customHeight="false" outlineLevel="0" collapsed="false">
      <c r="A222" s="29" t="n">
        <f aca="false">IF(217&gt;Sizing!$B$25,"",217)</f>
        <v>217</v>
      </c>
      <c r="B222" s="30" t="n">
        <f aca="false">IF(A222="","",EDATE(Inputs!$B$29,217-1))</f>
        <v>52932</v>
      </c>
      <c r="C222" s="31" t="n">
        <f aca="false">IF(A222="","",G221)</f>
        <v>2160949.53661183</v>
      </c>
      <c r="D222" s="31" t="n">
        <f aca="false">IF(A222="","",MIN(Sizing!$B$32,C222*(1+Sizing!$B$24/12)))</f>
        <v>22511.8172418543</v>
      </c>
      <c r="E222" s="31" t="n">
        <f aca="false">IF(A222="","",C222*Sizing!$B$24/12)</f>
        <v>13055.7367836965</v>
      </c>
      <c r="F222" s="31" t="n">
        <f aca="false">IF(A222="","",D222-E222)</f>
        <v>9456.08045815788</v>
      </c>
      <c r="G222" s="31" t="n">
        <f aca="false">IF(A222="","",MAX(0,C222-F222))</f>
        <v>2151493.45615367</v>
      </c>
      <c r="H222" s="32" t="n">
        <f aca="false">IF(A222="","",IF(Inputs!$B$35="5-4-3-2-1 step-down",MAX(0,6-ROUNDUP(A222/12,0))/100,IF(Inputs!$B$35="3-2-1 step-down",MAX(0,4-ROUNDUP(A222/12,0))/100,0)))</f>
        <v>0</v>
      </c>
      <c r="I222" s="31" t="n">
        <f aca="false">IF(A222="","",G222*(1+H222))</f>
        <v>2151493.45615367</v>
      </c>
    </row>
    <row r="223" customFormat="false" ht="15" hidden="false" customHeight="false" outlineLevel="0" collapsed="false">
      <c r="A223" s="33" t="n">
        <f aca="false">IF(218&gt;Sizing!$B$25,"",218)</f>
        <v>218</v>
      </c>
      <c r="B223" s="34" t="n">
        <f aca="false">IF(A223="","",EDATE(Inputs!$B$29,218-1))</f>
        <v>52963</v>
      </c>
      <c r="C223" s="35" t="n">
        <f aca="false">IF(A223="","",G222)</f>
        <v>2151493.45615367</v>
      </c>
      <c r="D223" s="35" t="n">
        <f aca="false">IF(A223="","",MIN(Sizing!$B$32,C223*(1+Sizing!$B$24/12)))</f>
        <v>22511.8172418543</v>
      </c>
      <c r="E223" s="35" t="n">
        <f aca="false">IF(A223="","",C223*Sizing!$B$24/12)</f>
        <v>12998.6062975951</v>
      </c>
      <c r="F223" s="35" t="n">
        <f aca="false">IF(A223="","",D223-E223)</f>
        <v>9513.21094425925</v>
      </c>
      <c r="G223" s="35" t="n">
        <f aca="false">IF(A223="","",MAX(0,C223-F223))</f>
        <v>2141980.24520941</v>
      </c>
      <c r="H223" s="36" t="n">
        <f aca="false">IF(A223="","",IF(Inputs!$B$35="5-4-3-2-1 step-down",MAX(0,6-ROUNDUP(A223/12,0))/100,IF(Inputs!$B$35="3-2-1 step-down",MAX(0,4-ROUNDUP(A223/12,0))/100,0)))</f>
        <v>0</v>
      </c>
      <c r="I223" s="35" t="n">
        <f aca="false">IF(A223="","",G223*(1+H223))</f>
        <v>2141980.24520941</v>
      </c>
    </row>
    <row r="224" customFormat="false" ht="15" hidden="false" customHeight="false" outlineLevel="0" collapsed="false">
      <c r="A224" s="29" t="n">
        <f aca="false">IF(219&gt;Sizing!$B$25,"",219)</f>
        <v>219</v>
      </c>
      <c r="B224" s="30" t="n">
        <f aca="false">IF(A224="","",EDATE(Inputs!$B$29,219-1))</f>
        <v>52994</v>
      </c>
      <c r="C224" s="31" t="n">
        <f aca="false">IF(A224="","",G223)</f>
        <v>2141980.24520941</v>
      </c>
      <c r="D224" s="31" t="n">
        <f aca="false">IF(A224="","",MIN(Sizing!$B$32,C224*(1+Sizing!$B$24/12)))</f>
        <v>22511.8172418543</v>
      </c>
      <c r="E224" s="31" t="n">
        <f aca="false">IF(A224="","",C224*Sizing!$B$24/12)</f>
        <v>12941.1306481402</v>
      </c>
      <c r="F224" s="31" t="n">
        <f aca="false">IF(A224="","",D224-E224)</f>
        <v>9570.68659371415</v>
      </c>
      <c r="G224" s="31" t="n">
        <f aca="false">IF(A224="","",MAX(0,C224-F224))</f>
        <v>2132409.5586157</v>
      </c>
      <c r="H224" s="32" t="n">
        <f aca="false">IF(A224="","",IF(Inputs!$B$35="5-4-3-2-1 step-down",MAX(0,6-ROUNDUP(A224/12,0))/100,IF(Inputs!$B$35="3-2-1 step-down",MAX(0,4-ROUNDUP(A224/12,0))/100,0)))</f>
        <v>0</v>
      </c>
      <c r="I224" s="31" t="n">
        <f aca="false">IF(A224="","",G224*(1+H224))</f>
        <v>2132409.5586157</v>
      </c>
    </row>
    <row r="225" customFormat="false" ht="15" hidden="false" customHeight="false" outlineLevel="0" collapsed="false">
      <c r="A225" s="33" t="n">
        <f aca="false">IF(220&gt;Sizing!$B$25,"",220)</f>
        <v>220</v>
      </c>
      <c r="B225" s="34" t="n">
        <f aca="false">IF(A225="","",EDATE(Inputs!$B$29,220-1))</f>
        <v>53022</v>
      </c>
      <c r="C225" s="35" t="n">
        <f aca="false">IF(A225="","",G224)</f>
        <v>2132409.5586157</v>
      </c>
      <c r="D225" s="35" t="n">
        <f aca="false">IF(A225="","",MIN(Sizing!$B$32,C225*(1+Sizing!$B$24/12)))</f>
        <v>22511.8172418543</v>
      </c>
      <c r="E225" s="35" t="n">
        <f aca="false">IF(A225="","",C225*Sizing!$B$24/12)</f>
        <v>12883.3077499698</v>
      </c>
      <c r="F225" s="35" t="n">
        <f aca="false">IF(A225="","",D225-E225)</f>
        <v>9628.5094918845</v>
      </c>
      <c r="G225" s="35" t="n">
        <f aca="false">IF(A225="","",MAX(0,C225-F225))</f>
        <v>2122781.04912381</v>
      </c>
      <c r="H225" s="36" t="n">
        <f aca="false">IF(A225="","",IF(Inputs!$B$35="5-4-3-2-1 step-down",MAX(0,6-ROUNDUP(A225/12,0))/100,IF(Inputs!$B$35="3-2-1 step-down",MAX(0,4-ROUNDUP(A225/12,0))/100,0)))</f>
        <v>0</v>
      </c>
      <c r="I225" s="35" t="n">
        <f aca="false">IF(A225="","",G225*(1+H225))</f>
        <v>2122781.04912381</v>
      </c>
    </row>
    <row r="226" customFormat="false" ht="15" hidden="false" customHeight="false" outlineLevel="0" collapsed="false">
      <c r="A226" s="29" t="n">
        <f aca="false">IF(221&gt;Sizing!$B$25,"",221)</f>
        <v>221</v>
      </c>
      <c r="B226" s="30" t="n">
        <f aca="false">IF(A226="","",EDATE(Inputs!$B$29,221-1))</f>
        <v>53053</v>
      </c>
      <c r="C226" s="31" t="n">
        <f aca="false">IF(A226="","",G225)</f>
        <v>2122781.04912381</v>
      </c>
      <c r="D226" s="31" t="n">
        <f aca="false">IF(A226="","",MIN(Sizing!$B$32,C226*(1+Sizing!$B$24/12)))</f>
        <v>22511.8172418543</v>
      </c>
      <c r="E226" s="31" t="n">
        <f aca="false">IF(A226="","",C226*Sizing!$B$24/12)</f>
        <v>12825.135505123</v>
      </c>
      <c r="F226" s="31" t="n">
        <f aca="false">IF(A226="","",D226-E226)</f>
        <v>9686.68173673131</v>
      </c>
      <c r="G226" s="31" t="n">
        <f aca="false">IF(A226="","",MAX(0,C226-F226))</f>
        <v>2113094.36738708</v>
      </c>
      <c r="H226" s="32" t="n">
        <f aca="false">IF(A226="","",IF(Inputs!$B$35="5-4-3-2-1 step-down",MAX(0,6-ROUNDUP(A226/12,0))/100,IF(Inputs!$B$35="3-2-1 step-down",MAX(0,4-ROUNDUP(A226/12,0))/100,0)))</f>
        <v>0</v>
      </c>
      <c r="I226" s="31" t="n">
        <f aca="false">IF(A226="","",G226*(1+H226))</f>
        <v>2113094.36738708</v>
      </c>
    </row>
    <row r="227" customFormat="false" ht="15" hidden="false" customHeight="false" outlineLevel="0" collapsed="false">
      <c r="A227" s="33" t="n">
        <f aca="false">IF(222&gt;Sizing!$B$25,"",222)</f>
        <v>222</v>
      </c>
      <c r="B227" s="34" t="n">
        <f aca="false">IF(A227="","",EDATE(Inputs!$B$29,222-1))</f>
        <v>53083</v>
      </c>
      <c r="C227" s="35" t="n">
        <f aca="false">IF(A227="","",G226)</f>
        <v>2113094.36738708</v>
      </c>
      <c r="D227" s="35" t="n">
        <f aca="false">IF(A227="","",MIN(Sizing!$B$32,C227*(1+Sizing!$B$24/12)))</f>
        <v>22511.8172418543</v>
      </c>
      <c r="E227" s="35" t="n">
        <f aca="false">IF(A227="","",C227*Sizing!$B$24/12)</f>
        <v>12766.6118029636</v>
      </c>
      <c r="F227" s="35" t="n">
        <f aca="false">IF(A227="","",D227-E227)</f>
        <v>9745.20543889073</v>
      </c>
      <c r="G227" s="35" t="n">
        <f aca="false">IF(A227="","",MAX(0,C227-F227))</f>
        <v>2103349.16194819</v>
      </c>
      <c r="H227" s="36" t="n">
        <f aca="false">IF(A227="","",IF(Inputs!$B$35="5-4-3-2-1 step-down",MAX(0,6-ROUNDUP(A227/12,0))/100,IF(Inputs!$B$35="3-2-1 step-down",MAX(0,4-ROUNDUP(A227/12,0))/100,0)))</f>
        <v>0</v>
      </c>
      <c r="I227" s="35" t="n">
        <f aca="false">IF(A227="","",G227*(1+H227))</f>
        <v>2103349.16194819</v>
      </c>
    </row>
    <row r="228" customFormat="false" ht="15" hidden="false" customHeight="false" outlineLevel="0" collapsed="false">
      <c r="A228" s="29" t="n">
        <f aca="false">IF(223&gt;Sizing!$B$25,"",223)</f>
        <v>223</v>
      </c>
      <c r="B228" s="30" t="n">
        <f aca="false">IF(A228="","",EDATE(Inputs!$B$29,223-1))</f>
        <v>53114</v>
      </c>
      <c r="C228" s="31" t="n">
        <f aca="false">IF(A228="","",G227)</f>
        <v>2103349.16194819</v>
      </c>
      <c r="D228" s="31" t="n">
        <f aca="false">IF(A228="","",MIN(Sizing!$B$32,C228*(1+Sizing!$B$24/12)))</f>
        <v>22511.8172418543</v>
      </c>
      <c r="E228" s="31" t="n">
        <f aca="false">IF(A228="","",C228*Sizing!$B$24/12)</f>
        <v>12707.7345201036</v>
      </c>
      <c r="F228" s="31" t="n">
        <f aca="false">IF(A228="","",D228-E228)</f>
        <v>9804.08272175069</v>
      </c>
      <c r="G228" s="31" t="n">
        <f aca="false">IF(A228="","",MAX(0,C228-F228))</f>
        <v>2093545.07922644</v>
      </c>
      <c r="H228" s="32" t="n">
        <f aca="false">IF(A228="","",IF(Inputs!$B$35="5-4-3-2-1 step-down",MAX(0,6-ROUNDUP(A228/12,0))/100,IF(Inputs!$B$35="3-2-1 step-down",MAX(0,4-ROUNDUP(A228/12,0))/100,0)))</f>
        <v>0</v>
      </c>
      <c r="I228" s="31" t="n">
        <f aca="false">IF(A228="","",G228*(1+H228))</f>
        <v>2093545.07922644</v>
      </c>
    </row>
    <row r="229" customFormat="false" ht="15" hidden="false" customHeight="false" outlineLevel="0" collapsed="false">
      <c r="A229" s="33" t="n">
        <f aca="false">IF(224&gt;Sizing!$B$25,"",224)</f>
        <v>224</v>
      </c>
      <c r="B229" s="34" t="n">
        <f aca="false">IF(A229="","",EDATE(Inputs!$B$29,224-1))</f>
        <v>53144</v>
      </c>
      <c r="C229" s="35" t="n">
        <f aca="false">IF(A229="","",G228)</f>
        <v>2093545.07922644</v>
      </c>
      <c r="D229" s="35" t="n">
        <f aca="false">IF(A229="","",MIN(Sizing!$B$32,C229*(1+Sizing!$B$24/12)))</f>
        <v>22511.8172418543</v>
      </c>
      <c r="E229" s="35" t="n">
        <f aca="false">IF(A229="","",C229*Sizing!$B$24/12)</f>
        <v>12648.5015203264</v>
      </c>
      <c r="F229" s="35" t="n">
        <f aca="false">IF(A229="","",D229-E229)</f>
        <v>9863.31572152793</v>
      </c>
      <c r="G229" s="35" t="n">
        <f aca="false">IF(A229="","",MAX(0,C229-F229))</f>
        <v>2083681.76350491</v>
      </c>
      <c r="H229" s="36" t="n">
        <f aca="false">IF(A229="","",IF(Inputs!$B$35="5-4-3-2-1 step-down",MAX(0,6-ROUNDUP(A229/12,0))/100,IF(Inputs!$B$35="3-2-1 step-down",MAX(0,4-ROUNDUP(A229/12,0))/100,0)))</f>
        <v>0</v>
      </c>
      <c r="I229" s="35" t="n">
        <f aca="false">IF(A229="","",G229*(1+H229))</f>
        <v>2083681.76350491</v>
      </c>
    </row>
    <row r="230" customFormat="false" ht="15" hidden="false" customHeight="false" outlineLevel="0" collapsed="false">
      <c r="A230" s="29" t="n">
        <f aca="false">IF(225&gt;Sizing!$B$25,"",225)</f>
        <v>225</v>
      </c>
      <c r="B230" s="30" t="n">
        <f aca="false">IF(A230="","",EDATE(Inputs!$B$29,225-1))</f>
        <v>53175</v>
      </c>
      <c r="C230" s="31" t="n">
        <f aca="false">IF(A230="","",G229)</f>
        <v>2083681.76350491</v>
      </c>
      <c r="D230" s="31" t="n">
        <f aca="false">IF(A230="","",MIN(Sizing!$B$32,C230*(1+Sizing!$B$24/12)))</f>
        <v>22511.8172418543</v>
      </c>
      <c r="E230" s="31" t="n">
        <f aca="false">IF(A230="","",C230*Sizing!$B$24/12)</f>
        <v>12588.9106545088</v>
      </c>
      <c r="F230" s="31" t="n">
        <f aca="false">IF(A230="","",D230-E230)</f>
        <v>9922.9065873455</v>
      </c>
      <c r="G230" s="31" t="n">
        <f aca="false">IF(A230="","",MAX(0,C230-F230))</f>
        <v>2073758.85691757</v>
      </c>
      <c r="H230" s="32" t="n">
        <f aca="false">IF(A230="","",IF(Inputs!$B$35="5-4-3-2-1 step-down",MAX(0,6-ROUNDUP(A230/12,0))/100,IF(Inputs!$B$35="3-2-1 step-down",MAX(0,4-ROUNDUP(A230/12,0))/100,0)))</f>
        <v>0</v>
      </c>
      <c r="I230" s="31" t="n">
        <f aca="false">IF(A230="","",G230*(1+H230))</f>
        <v>2073758.85691757</v>
      </c>
    </row>
    <row r="231" customFormat="false" ht="15" hidden="false" customHeight="false" outlineLevel="0" collapsed="false">
      <c r="A231" s="33" t="n">
        <f aca="false">IF(226&gt;Sizing!$B$25,"",226)</f>
        <v>226</v>
      </c>
      <c r="B231" s="34" t="n">
        <f aca="false">IF(A231="","",EDATE(Inputs!$B$29,226-1))</f>
        <v>53206</v>
      </c>
      <c r="C231" s="35" t="n">
        <f aca="false">IF(A231="","",G230)</f>
        <v>2073758.85691757</v>
      </c>
      <c r="D231" s="35" t="n">
        <f aca="false">IF(A231="","",MIN(Sizing!$B$32,C231*(1+Sizing!$B$24/12)))</f>
        <v>22511.8172418543</v>
      </c>
      <c r="E231" s="35" t="n">
        <f aca="false">IF(A231="","",C231*Sizing!$B$24/12)</f>
        <v>12528.9597605436</v>
      </c>
      <c r="F231" s="35" t="n">
        <f aca="false">IF(A231="","",D231-E231)</f>
        <v>9982.85748131071</v>
      </c>
      <c r="G231" s="35" t="n">
        <f aca="false">IF(A231="","",MAX(0,C231-F231))</f>
        <v>2063775.99943625</v>
      </c>
      <c r="H231" s="36" t="n">
        <f aca="false">IF(A231="","",IF(Inputs!$B$35="5-4-3-2-1 step-down",MAX(0,6-ROUNDUP(A231/12,0))/100,IF(Inputs!$B$35="3-2-1 step-down",MAX(0,4-ROUNDUP(A231/12,0))/100,0)))</f>
        <v>0</v>
      </c>
      <c r="I231" s="35" t="n">
        <f aca="false">IF(A231="","",G231*(1+H231))</f>
        <v>2063775.99943625</v>
      </c>
    </row>
    <row r="232" customFormat="false" ht="15" hidden="false" customHeight="false" outlineLevel="0" collapsed="false">
      <c r="A232" s="29" t="n">
        <f aca="false">IF(227&gt;Sizing!$B$25,"",227)</f>
        <v>227</v>
      </c>
      <c r="B232" s="30" t="n">
        <f aca="false">IF(A232="","",EDATE(Inputs!$B$29,227-1))</f>
        <v>53236</v>
      </c>
      <c r="C232" s="31" t="n">
        <f aca="false">IF(A232="","",G231)</f>
        <v>2063775.99943625</v>
      </c>
      <c r="D232" s="31" t="n">
        <f aca="false">IF(A232="","",MIN(Sizing!$B$32,C232*(1+Sizing!$B$24/12)))</f>
        <v>22511.8172418543</v>
      </c>
      <c r="E232" s="31" t="n">
        <f aca="false">IF(A232="","",C232*Sizing!$B$24/12)</f>
        <v>12468.6466632607</v>
      </c>
      <c r="F232" s="31" t="n">
        <f aca="false">IF(A232="","",D232-E232)</f>
        <v>10043.1705785936</v>
      </c>
      <c r="G232" s="31" t="n">
        <f aca="false">IF(A232="","",MAX(0,C232-F232))</f>
        <v>2053732.82885766</v>
      </c>
      <c r="H232" s="32" t="n">
        <f aca="false">IF(A232="","",IF(Inputs!$B$35="5-4-3-2-1 step-down",MAX(0,6-ROUNDUP(A232/12,0))/100,IF(Inputs!$B$35="3-2-1 step-down",MAX(0,4-ROUNDUP(A232/12,0))/100,0)))</f>
        <v>0</v>
      </c>
      <c r="I232" s="31" t="n">
        <f aca="false">IF(A232="","",G232*(1+H232))</f>
        <v>2053732.82885766</v>
      </c>
    </row>
    <row r="233" customFormat="false" ht="15" hidden="false" customHeight="false" outlineLevel="0" collapsed="false">
      <c r="A233" s="33" t="n">
        <f aca="false">IF(228&gt;Sizing!$B$25,"",228)</f>
        <v>228</v>
      </c>
      <c r="B233" s="34" t="n">
        <f aca="false">IF(A233="","",EDATE(Inputs!$B$29,228-1))</f>
        <v>53267</v>
      </c>
      <c r="C233" s="35" t="n">
        <f aca="false">IF(A233="","",G232)</f>
        <v>2053732.82885766</v>
      </c>
      <c r="D233" s="35" t="n">
        <f aca="false">IF(A233="","",MIN(Sizing!$B$32,C233*(1+Sizing!$B$24/12)))</f>
        <v>22511.8172418543</v>
      </c>
      <c r="E233" s="35" t="n">
        <f aca="false">IF(A233="","",C233*Sizing!$B$24/12)</f>
        <v>12407.9691743484</v>
      </c>
      <c r="F233" s="35" t="n">
        <f aca="false">IF(A233="","",D233-E233)</f>
        <v>10103.848067506</v>
      </c>
      <c r="G233" s="35" t="n">
        <f aca="false">IF(A233="","",MAX(0,C233-F233))</f>
        <v>2043628.98079016</v>
      </c>
      <c r="H233" s="36" t="n">
        <f aca="false">IF(A233="","",IF(Inputs!$B$35="5-4-3-2-1 step-down",MAX(0,6-ROUNDUP(A233/12,0))/100,IF(Inputs!$B$35="3-2-1 step-down",MAX(0,4-ROUNDUP(A233/12,0))/100,0)))</f>
        <v>0</v>
      </c>
      <c r="I233" s="35" t="n">
        <f aca="false">IF(A233="","",G233*(1+H233))</f>
        <v>2043628.98079016</v>
      </c>
    </row>
    <row r="234" customFormat="false" ht="15" hidden="false" customHeight="false" outlineLevel="0" collapsed="false">
      <c r="A234" s="29" t="n">
        <f aca="false">IF(229&gt;Sizing!$B$25,"",229)</f>
        <v>229</v>
      </c>
      <c r="B234" s="30" t="n">
        <f aca="false">IF(A234="","",EDATE(Inputs!$B$29,229-1))</f>
        <v>53297</v>
      </c>
      <c r="C234" s="31" t="n">
        <f aca="false">IF(A234="","",G233)</f>
        <v>2043628.98079016</v>
      </c>
      <c r="D234" s="31" t="n">
        <f aca="false">IF(A234="","",MIN(Sizing!$B$32,C234*(1+Sizing!$B$24/12)))</f>
        <v>22511.8172418543</v>
      </c>
      <c r="E234" s="31" t="n">
        <f aca="false">IF(A234="","",C234*Sizing!$B$24/12)</f>
        <v>12346.9250922739</v>
      </c>
      <c r="F234" s="31" t="n">
        <f aca="false">IF(A234="","",D234-E234)</f>
        <v>10164.8921495805</v>
      </c>
      <c r="G234" s="31" t="n">
        <f aca="false">IF(A234="","",MAX(0,C234-F234))</f>
        <v>2033464.08864057</v>
      </c>
      <c r="H234" s="32" t="n">
        <f aca="false">IF(A234="","",IF(Inputs!$B$35="5-4-3-2-1 step-down",MAX(0,6-ROUNDUP(A234/12,0))/100,IF(Inputs!$B$35="3-2-1 step-down",MAX(0,4-ROUNDUP(A234/12,0))/100,0)))</f>
        <v>0</v>
      </c>
      <c r="I234" s="31" t="n">
        <f aca="false">IF(A234="","",G234*(1+H234))</f>
        <v>2033464.08864057</v>
      </c>
    </row>
    <row r="235" customFormat="false" ht="15" hidden="false" customHeight="false" outlineLevel="0" collapsed="false">
      <c r="A235" s="33" t="n">
        <f aca="false">IF(230&gt;Sizing!$B$25,"",230)</f>
        <v>230</v>
      </c>
      <c r="B235" s="34" t="n">
        <f aca="false">IF(A235="","",EDATE(Inputs!$B$29,230-1))</f>
        <v>53328</v>
      </c>
      <c r="C235" s="35" t="n">
        <f aca="false">IF(A235="","",G234)</f>
        <v>2033464.08864057</v>
      </c>
      <c r="D235" s="35" t="n">
        <f aca="false">IF(A235="","",MIN(Sizing!$B$32,C235*(1+Sizing!$B$24/12)))</f>
        <v>22511.8172418543</v>
      </c>
      <c r="E235" s="35" t="n">
        <f aca="false">IF(A235="","",C235*Sizing!$B$24/12)</f>
        <v>12285.5122022035</v>
      </c>
      <c r="F235" s="35" t="n">
        <f aca="false">IF(A235="","",D235-E235)</f>
        <v>10226.3050396509</v>
      </c>
      <c r="G235" s="35" t="n">
        <f aca="false">IF(A235="","",MAX(0,C235-F235))</f>
        <v>2023237.78360092</v>
      </c>
      <c r="H235" s="36" t="n">
        <f aca="false">IF(A235="","",IF(Inputs!$B$35="5-4-3-2-1 step-down",MAX(0,6-ROUNDUP(A235/12,0))/100,IF(Inputs!$B$35="3-2-1 step-down",MAX(0,4-ROUNDUP(A235/12,0))/100,0)))</f>
        <v>0</v>
      </c>
      <c r="I235" s="35" t="n">
        <f aca="false">IF(A235="","",G235*(1+H235))</f>
        <v>2023237.78360092</v>
      </c>
    </row>
    <row r="236" customFormat="false" ht="15" hidden="false" customHeight="false" outlineLevel="0" collapsed="false">
      <c r="A236" s="29" t="n">
        <f aca="false">IF(231&gt;Sizing!$B$25,"",231)</f>
        <v>231</v>
      </c>
      <c r="B236" s="30" t="n">
        <f aca="false">IF(A236="","",EDATE(Inputs!$B$29,231-1))</f>
        <v>53359</v>
      </c>
      <c r="C236" s="31" t="n">
        <f aca="false">IF(A236="","",G235)</f>
        <v>2023237.78360092</v>
      </c>
      <c r="D236" s="31" t="n">
        <f aca="false">IF(A236="","",MIN(Sizing!$B$32,C236*(1+Sizing!$B$24/12)))</f>
        <v>22511.8172418543</v>
      </c>
      <c r="E236" s="31" t="n">
        <f aca="false">IF(A236="","",C236*Sizing!$B$24/12)</f>
        <v>12223.7282759222</v>
      </c>
      <c r="F236" s="31" t="n">
        <f aca="false">IF(A236="","",D236-E236)</f>
        <v>10288.0889659321</v>
      </c>
      <c r="G236" s="31" t="n">
        <f aca="false">IF(A236="","",MAX(0,C236-F236))</f>
        <v>2012949.69463499</v>
      </c>
      <c r="H236" s="32" t="n">
        <f aca="false">IF(A236="","",IF(Inputs!$B$35="5-4-3-2-1 step-down",MAX(0,6-ROUNDUP(A236/12,0))/100,IF(Inputs!$B$35="3-2-1 step-down",MAX(0,4-ROUNDUP(A236/12,0))/100,0)))</f>
        <v>0</v>
      </c>
      <c r="I236" s="31" t="n">
        <f aca="false">IF(A236="","",G236*(1+H236))</f>
        <v>2012949.69463499</v>
      </c>
    </row>
    <row r="237" customFormat="false" ht="15" hidden="false" customHeight="false" outlineLevel="0" collapsed="false">
      <c r="A237" s="33" t="n">
        <f aca="false">IF(232&gt;Sizing!$B$25,"",232)</f>
        <v>232</v>
      </c>
      <c r="B237" s="34" t="n">
        <f aca="false">IF(A237="","",EDATE(Inputs!$B$29,232-1))</f>
        <v>53387</v>
      </c>
      <c r="C237" s="35" t="n">
        <f aca="false">IF(A237="","",G236)</f>
        <v>2012949.69463499</v>
      </c>
      <c r="D237" s="35" t="n">
        <f aca="false">IF(A237="","",MIN(Sizing!$B$32,C237*(1+Sizing!$B$24/12)))</f>
        <v>22511.8172418543</v>
      </c>
      <c r="E237" s="35" t="n">
        <f aca="false">IF(A237="","",C237*Sizing!$B$24/12)</f>
        <v>12161.5710717531</v>
      </c>
      <c r="F237" s="35" t="n">
        <f aca="false">IF(A237="","",D237-E237)</f>
        <v>10350.2461701013</v>
      </c>
      <c r="G237" s="35" t="n">
        <f aca="false">IF(A237="","",MAX(0,C237-F237))</f>
        <v>2002599.44846489</v>
      </c>
      <c r="H237" s="36" t="n">
        <f aca="false">IF(A237="","",IF(Inputs!$B$35="5-4-3-2-1 step-down",MAX(0,6-ROUNDUP(A237/12,0))/100,IF(Inputs!$B$35="3-2-1 step-down",MAX(0,4-ROUNDUP(A237/12,0))/100,0)))</f>
        <v>0</v>
      </c>
      <c r="I237" s="35" t="n">
        <f aca="false">IF(A237="","",G237*(1+H237))</f>
        <v>2002599.44846489</v>
      </c>
    </row>
    <row r="238" customFormat="false" ht="15" hidden="false" customHeight="false" outlineLevel="0" collapsed="false">
      <c r="A238" s="29" t="n">
        <f aca="false">IF(233&gt;Sizing!$B$25,"",233)</f>
        <v>233</v>
      </c>
      <c r="B238" s="30" t="n">
        <f aca="false">IF(A238="","",EDATE(Inputs!$B$29,233-1))</f>
        <v>53418</v>
      </c>
      <c r="C238" s="31" t="n">
        <f aca="false">IF(A238="","",G237)</f>
        <v>2002599.44846489</v>
      </c>
      <c r="D238" s="31" t="n">
        <f aca="false">IF(A238="","",MIN(Sizing!$B$32,C238*(1+Sizing!$B$24/12)))</f>
        <v>22511.8172418543</v>
      </c>
      <c r="E238" s="31" t="n">
        <f aca="false">IF(A238="","",C238*Sizing!$B$24/12)</f>
        <v>12099.0383344754</v>
      </c>
      <c r="F238" s="31" t="n">
        <f aca="false">IF(A238="","",D238-E238)</f>
        <v>10412.778907379</v>
      </c>
      <c r="G238" s="31" t="n">
        <f aca="false">IF(A238="","",MAX(0,C238-F238))</f>
        <v>1992186.66955751</v>
      </c>
      <c r="H238" s="32" t="n">
        <f aca="false">IF(A238="","",IF(Inputs!$B$35="5-4-3-2-1 step-down",MAX(0,6-ROUNDUP(A238/12,0))/100,IF(Inputs!$B$35="3-2-1 step-down",MAX(0,4-ROUNDUP(A238/12,0))/100,0)))</f>
        <v>0</v>
      </c>
      <c r="I238" s="31" t="n">
        <f aca="false">IF(A238="","",G238*(1+H238))</f>
        <v>1992186.66955751</v>
      </c>
    </row>
    <row r="239" customFormat="false" ht="15" hidden="false" customHeight="false" outlineLevel="0" collapsed="false">
      <c r="A239" s="33" t="n">
        <f aca="false">IF(234&gt;Sizing!$B$25,"",234)</f>
        <v>234</v>
      </c>
      <c r="B239" s="34" t="n">
        <f aca="false">IF(A239="","",EDATE(Inputs!$B$29,234-1))</f>
        <v>53448</v>
      </c>
      <c r="C239" s="35" t="n">
        <f aca="false">IF(A239="","",G238)</f>
        <v>1992186.66955751</v>
      </c>
      <c r="D239" s="35" t="n">
        <f aca="false">IF(A239="","",MIN(Sizing!$B$32,C239*(1+Sizing!$B$24/12)))</f>
        <v>22511.8172418543</v>
      </c>
      <c r="E239" s="35" t="n">
        <f aca="false">IF(A239="","",C239*Sizing!$B$24/12)</f>
        <v>12036.1277952433</v>
      </c>
      <c r="F239" s="35" t="n">
        <f aca="false">IF(A239="","",D239-E239)</f>
        <v>10475.689446611</v>
      </c>
      <c r="G239" s="35" t="n">
        <f aca="false">IF(A239="","",MAX(0,C239-F239))</f>
        <v>1981710.9801109</v>
      </c>
      <c r="H239" s="36" t="n">
        <f aca="false">IF(A239="","",IF(Inputs!$B$35="5-4-3-2-1 step-down",MAX(0,6-ROUNDUP(A239/12,0))/100,IF(Inputs!$B$35="3-2-1 step-down",MAX(0,4-ROUNDUP(A239/12,0))/100,0)))</f>
        <v>0</v>
      </c>
      <c r="I239" s="35" t="n">
        <f aca="false">IF(A239="","",G239*(1+H239))</f>
        <v>1981710.9801109</v>
      </c>
    </row>
    <row r="240" customFormat="false" ht="15" hidden="false" customHeight="false" outlineLevel="0" collapsed="false">
      <c r="A240" s="29" t="n">
        <f aca="false">IF(235&gt;Sizing!$B$25,"",235)</f>
        <v>235</v>
      </c>
      <c r="B240" s="30" t="n">
        <f aca="false">IF(A240="","",EDATE(Inputs!$B$29,235-1))</f>
        <v>53479</v>
      </c>
      <c r="C240" s="31" t="n">
        <f aca="false">IF(A240="","",G239)</f>
        <v>1981710.9801109</v>
      </c>
      <c r="D240" s="31" t="n">
        <f aca="false">IF(A240="","",MIN(Sizing!$B$32,C240*(1+Sizing!$B$24/12)))</f>
        <v>22511.8172418543</v>
      </c>
      <c r="E240" s="31" t="n">
        <f aca="false">IF(A240="","",C240*Sizing!$B$24/12)</f>
        <v>11972.8371715034</v>
      </c>
      <c r="F240" s="31" t="n">
        <f aca="false">IF(A240="","",D240-E240)</f>
        <v>10538.980070351</v>
      </c>
      <c r="G240" s="31" t="n">
        <f aca="false">IF(A240="","",MAX(0,C240-F240))</f>
        <v>1971172.00004055</v>
      </c>
      <c r="H240" s="32" t="n">
        <f aca="false">IF(A240="","",IF(Inputs!$B$35="5-4-3-2-1 step-down",MAX(0,6-ROUNDUP(A240/12,0))/100,IF(Inputs!$B$35="3-2-1 step-down",MAX(0,4-ROUNDUP(A240/12,0))/100,0)))</f>
        <v>0</v>
      </c>
      <c r="I240" s="31" t="n">
        <f aca="false">IF(A240="","",G240*(1+H240))</f>
        <v>1971172.00004055</v>
      </c>
    </row>
    <row r="241" customFormat="false" ht="15" hidden="false" customHeight="false" outlineLevel="0" collapsed="false">
      <c r="A241" s="33" t="n">
        <f aca="false">IF(236&gt;Sizing!$B$25,"",236)</f>
        <v>236</v>
      </c>
      <c r="B241" s="34" t="n">
        <f aca="false">IF(A241="","",EDATE(Inputs!$B$29,236-1))</f>
        <v>53509</v>
      </c>
      <c r="C241" s="35" t="n">
        <f aca="false">IF(A241="","",G240)</f>
        <v>1971172.00004055</v>
      </c>
      <c r="D241" s="35" t="n">
        <f aca="false">IF(A241="","",MIN(Sizing!$B$32,C241*(1+Sizing!$B$24/12)))</f>
        <v>22511.8172418543</v>
      </c>
      <c r="E241" s="35" t="n">
        <f aca="false">IF(A241="","",C241*Sizing!$B$24/12)</f>
        <v>11909.1641669117</v>
      </c>
      <c r="F241" s="35" t="n">
        <f aca="false">IF(A241="","",D241-E241)</f>
        <v>10602.6530749427</v>
      </c>
      <c r="G241" s="35" t="n">
        <f aca="false">IF(A241="","",MAX(0,C241-F241))</f>
        <v>1960569.34696561</v>
      </c>
      <c r="H241" s="36" t="n">
        <f aca="false">IF(A241="","",IF(Inputs!$B$35="5-4-3-2-1 step-down",MAX(0,6-ROUNDUP(A241/12,0))/100,IF(Inputs!$B$35="3-2-1 step-down",MAX(0,4-ROUNDUP(A241/12,0))/100,0)))</f>
        <v>0</v>
      </c>
      <c r="I241" s="35" t="n">
        <f aca="false">IF(A241="","",G241*(1+H241))</f>
        <v>1960569.34696561</v>
      </c>
    </row>
    <row r="242" customFormat="false" ht="15" hidden="false" customHeight="false" outlineLevel="0" collapsed="false">
      <c r="A242" s="29" t="n">
        <f aca="false">IF(237&gt;Sizing!$B$25,"",237)</f>
        <v>237</v>
      </c>
      <c r="B242" s="30" t="n">
        <f aca="false">IF(A242="","",EDATE(Inputs!$B$29,237-1))</f>
        <v>53540</v>
      </c>
      <c r="C242" s="31" t="n">
        <f aca="false">IF(A242="","",G241)</f>
        <v>1960569.34696561</v>
      </c>
      <c r="D242" s="31" t="n">
        <f aca="false">IF(A242="","",MIN(Sizing!$B$32,C242*(1+Sizing!$B$24/12)))</f>
        <v>22511.8172418543</v>
      </c>
      <c r="E242" s="31" t="n">
        <f aca="false">IF(A242="","",C242*Sizing!$B$24/12)</f>
        <v>11845.1064712505</v>
      </c>
      <c r="F242" s="31" t="n">
        <f aca="false">IF(A242="","",D242-E242)</f>
        <v>10666.7107706038</v>
      </c>
      <c r="G242" s="31" t="n">
        <f aca="false">IF(A242="","",MAX(0,C242-F242))</f>
        <v>1949902.636195</v>
      </c>
      <c r="H242" s="32" t="n">
        <f aca="false">IF(A242="","",IF(Inputs!$B$35="5-4-3-2-1 step-down",MAX(0,6-ROUNDUP(A242/12,0))/100,IF(Inputs!$B$35="3-2-1 step-down",MAX(0,4-ROUNDUP(A242/12,0))/100,0)))</f>
        <v>0</v>
      </c>
      <c r="I242" s="31" t="n">
        <f aca="false">IF(A242="","",G242*(1+H242))</f>
        <v>1949902.636195</v>
      </c>
    </row>
    <row r="243" customFormat="false" ht="15" hidden="false" customHeight="false" outlineLevel="0" collapsed="false">
      <c r="A243" s="33" t="n">
        <f aca="false">IF(238&gt;Sizing!$B$25,"",238)</f>
        <v>238</v>
      </c>
      <c r="B243" s="34" t="n">
        <f aca="false">IF(A243="","",EDATE(Inputs!$B$29,238-1))</f>
        <v>53571</v>
      </c>
      <c r="C243" s="35" t="n">
        <f aca="false">IF(A243="","",G242)</f>
        <v>1949902.636195</v>
      </c>
      <c r="D243" s="35" t="n">
        <f aca="false">IF(A243="","",MIN(Sizing!$B$32,C243*(1+Sizing!$B$24/12)))</f>
        <v>22511.8172418543</v>
      </c>
      <c r="E243" s="35" t="n">
        <f aca="false">IF(A243="","",C243*Sizing!$B$24/12)</f>
        <v>11780.6617603448</v>
      </c>
      <c r="F243" s="35" t="n">
        <f aca="false">IF(A243="","",D243-E243)</f>
        <v>10731.1554815095</v>
      </c>
      <c r="G243" s="35" t="n">
        <f aca="false">IF(A243="","",MAX(0,C243-F243))</f>
        <v>1939171.48071349</v>
      </c>
      <c r="H243" s="36" t="n">
        <f aca="false">IF(A243="","",IF(Inputs!$B$35="5-4-3-2-1 step-down",MAX(0,6-ROUNDUP(A243/12,0))/100,IF(Inputs!$B$35="3-2-1 step-down",MAX(0,4-ROUNDUP(A243/12,0))/100,0)))</f>
        <v>0</v>
      </c>
      <c r="I243" s="35" t="n">
        <f aca="false">IF(A243="","",G243*(1+H243))</f>
        <v>1939171.48071349</v>
      </c>
    </row>
    <row r="244" customFormat="false" ht="15" hidden="false" customHeight="false" outlineLevel="0" collapsed="false">
      <c r="A244" s="29" t="n">
        <f aca="false">IF(239&gt;Sizing!$B$25,"",239)</f>
        <v>239</v>
      </c>
      <c r="B244" s="30" t="n">
        <f aca="false">IF(A244="","",EDATE(Inputs!$B$29,239-1))</f>
        <v>53601</v>
      </c>
      <c r="C244" s="31" t="n">
        <f aca="false">IF(A244="","",G243)</f>
        <v>1939171.48071349</v>
      </c>
      <c r="D244" s="31" t="n">
        <f aca="false">IF(A244="","",MIN(Sizing!$B$32,C244*(1+Sizing!$B$24/12)))</f>
        <v>22511.8172418543</v>
      </c>
      <c r="E244" s="31" t="n">
        <f aca="false">IF(A244="","",C244*Sizing!$B$24/12)</f>
        <v>11715.8276959774</v>
      </c>
      <c r="F244" s="31" t="n">
        <f aca="false">IF(A244="","",D244-E244)</f>
        <v>10795.989545877</v>
      </c>
      <c r="G244" s="31" t="n">
        <f aca="false">IF(A244="","",MAX(0,C244-F244))</f>
        <v>1928375.49116762</v>
      </c>
      <c r="H244" s="32" t="n">
        <f aca="false">IF(A244="","",IF(Inputs!$B$35="5-4-3-2-1 step-down",MAX(0,6-ROUNDUP(A244/12,0))/100,IF(Inputs!$B$35="3-2-1 step-down",MAX(0,4-ROUNDUP(A244/12,0))/100,0)))</f>
        <v>0</v>
      </c>
      <c r="I244" s="31" t="n">
        <f aca="false">IF(A244="","",G244*(1+H244))</f>
        <v>1928375.49116762</v>
      </c>
    </row>
    <row r="245" customFormat="false" ht="15" hidden="false" customHeight="false" outlineLevel="0" collapsed="false">
      <c r="A245" s="33" t="n">
        <f aca="false">IF(240&gt;Sizing!$B$25,"",240)</f>
        <v>240</v>
      </c>
      <c r="B245" s="34" t="n">
        <f aca="false">IF(A245="","",EDATE(Inputs!$B$29,240-1))</f>
        <v>53632</v>
      </c>
      <c r="C245" s="35" t="n">
        <f aca="false">IF(A245="","",G244)</f>
        <v>1928375.49116762</v>
      </c>
      <c r="D245" s="35" t="n">
        <f aca="false">IF(A245="","",MIN(Sizing!$B$32,C245*(1+Sizing!$B$24/12)))</f>
        <v>22511.8172418543</v>
      </c>
      <c r="E245" s="35" t="n">
        <f aca="false">IF(A245="","",C245*Sizing!$B$24/12)</f>
        <v>11650.6019258044</v>
      </c>
      <c r="F245" s="35" t="n">
        <f aca="false">IF(A245="","",D245-E245)</f>
        <v>10861.21531605</v>
      </c>
      <c r="G245" s="35" t="n">
        <f aca="false">IF(A245="","",MAX(0,C245-F245))</f>
        <v>1917514.27585157</v>
      </c>
      <c r="H245" s="36" t="n">
        <f aca="false">IF(A245="","",IF(Inputs!$B$35="5-4-3-2-1 step-down",MAX(0,6-ROUNDUP(A245/12,0))/100,IF(Inputs!$B$35="3-2-1 step-down",MAX(0,4-ROUNDUP(A245/12,0))/100,0)))</f>
        <v>0</v>
      </c>
      <c r="I245" s="35" t="n">
        <f aca="false">IF(A245="","",G245*(1+H245))</f>
        <v>1917514.27585157</v>
      </c>
    </row>
    <row r="246" customFormat="false" ht="15" hidden="false" customHeight="false" outlineLevel="0" collapsed="false">
      <c r="A246" s="29" t="n">
        <f aca="false">IF(241&gt;Sizing!$B$25,"",241)</f>
        <v>241</v>
      </c>
      <c r="B246" s="30" t="n">
        <f aca="false">IF(A246="","",EDATE(Inputs!$B$29,241-1))</f>
        <v>53662</v>
      </c>
      <c r="C246" s="31" t="n">
        <f aca="false">IF(A246="","",G245)</f>
        <v>1917514.27585157</v>
      </c>
      <c r="D246" s="31" t="n">
        <f aca="false">IF(A246="","",MIN(Sizing!$B$32,C246*(1+Sizing!$B$24/12)))</f>
        <v>22511.8172418543</v>
      </c>
      <c r="E246" s="31" t="n">
        <f aca="false">IF(A246="","",C246*Sizing!$B$24/12)</f>
        <v>11584.9820832699</v>
      </c>
      <c r="F246" s="31" t="n">
        <f aca="false">IF(A246="","",D246-E246)</f>
        <v>10926.8351585845</v>
      </c>
      <c r="G246" s="31" t="n">
        <f aca="false">IF(A246="","",MAX(0,C246-F246))</f>
        <v>1906587.44069298</v>
      </c>
      <c r="H246" s="32" t="n">
        <f aca="false">IF(A246="","",IF(Inputs!$B$35="5-4-3-2-1 step-down",MAX(0,6-ROUNDUP(A246/12,0))/100,IF(Inputs!$B$35="3-2-1 step-down",MAX(0,4-ROUNDUP(A246/12,0))/100,0)))</f>
        <v>0</v>
      </c>
      <c r="I246" s="31" t="n">
        <f aca="false">IF(A246="","",G246*(1+H246))</f>
        <v>1906587.44069298</v>
      </c>
    </row>
    <row r="247" customFormat="false" ht="15" hidden="false" customHeight="false" outlineLevel="0" collapsed="false">
      <c r="A247" s="33" t="n">
        <f aca="false">IF(242&gt;Sizing!$B$25,"",242)</f>
        <v>242</v>
      </c>
      <c r="B247" s="34" t="n">
        <f aca="false">IF(A247="","",EDATE(Inputs!$B$29,242-1))</f>
        <v>53693</v>
      </c>
      <c r="C247" s="35" t="n">
        <f aca="false">IF(A247="","",G246)</f>
        <v>1906587.44069298</v>
      </c>
      <c r="D247" s="35" t="n">
        <f aca="false">IF(A247="","",MIN(Sizing!$B$32,C247*(1+Sizing!$B$24/12)))</f>
        <v>22511.8172418543</v>
      </c>
      <c r="E247" s="35" t="n">
        <f aca="false">IF(A247="","",C247*Sizing!$B$24/12)</f>
        <v>11518.9657875201</v>
      </c>
      <c r="F247" s="35" t="n">
        <f aca="false">IF(A247="","",D247-E247)</f>
        <v>10992.8514543342</v>
      </c>
      <c r="G247" s="35" t="n">
        <f aca="false">IF(A247="","",MAX(0,C247-F247))</f>
        <v>1895594.58923865</v>
      </c>
      <c r="H247" s="36" t="n">
        <f aca="false">IF(A247="","",IF(Inputs!$B$35="5-4-3-2-1 step-down",MAX(0,6-ROUNDUP(A247/12,0))/100,IF(Inputs!$B$35="3-2-1 step-down",MAX(0,4-ROUNDUP(A247/12,0))/100,0)))</f>
        <v>0</v>
      </c>
      <c r="I247" s="35" t="n">
        <f aca="false">IF(A247="","",G247*(1+H247))</f>
        <v>1895594.58923865</v>
      </c>
    </row>
    <row r="248" customFormat="false" ht="15" hidden="false" customHeight="false" outlineLevel="0" collapsed="false">
      <c r="A248" s="29" t="n">
        <f aca="false">IF(243&gt;Sizing!$B$25,"",243)</f>
        <v>243</v>
      </c>
      <c r="B248" s="30" t="n">
        <f aca="false">IF(A248="","",EDATE(Inputs!$B$29,243-1))</f>
        <v>53724</v>
      </c>
      <c r="C248" s="31" t="n">
        <f aca="false">IF(A248="","",G247)</f>
        <v>1895594.58923865</v>
      </c>
      <c r="D248" s="31" t="n">
        <f aca="false">IF(A248="","",MIN(Sizing!$B$32,C248*(1+Sizing!$B$24/12)))</f>
        <v>22511.8172418543</v>
      </c>
      <c r="E248" s="31" t="n">
        <f aca="false">IF(A248="","",C248*Sizing!$B$24/12)</f>
        <v>11452.5506433168</v>
      </c>
      <c r="F248" s="31" t="n">
        <f aca="false">IF(A248="","",D248-E248)</f>
        <v>11059.2665985375</v>
      </c>
      <c r="G248" s="31" t="n">
        <f aca="false">IF(A248="","",MAX(0,C248-F248))</f>
        <v>1884535.32264011</v>
      </c>
      <c r="H248" s="32" t="n">
        <f aca="false">IF(A248="","",IF(Inputs!$B$35="5-4-3-2-1 step-down",MAX(0,6-ROUNDUP(A248/12,0))/100,IF(Inputs!$B$35="3-2-1 step-down",MAX(0,4-ROUNDUP(A248/12,0))/100,0)))</f>
        <v>0</v>
      </c>
      <c r="I248" s="31" t="n">
        <f aca="false">IF(A248="","",G248*(1+H248))</f>
        <v>1884535.32264011</v>
      </c>
    </row>
    <row r="249" customFormat="false" ht="15" hidden="false" customHeight="false" outlineLevel="0" collapsed="false">
      <c r="A249" s="33" t="n">
        <f aca="false">IF(244&gt;Sizing!$B$25,"",244)</f>
        <v>244</v>
      </c>
      <c r="B249" s="34" t="n">
        <f aca="false">IF(A249="","",EDATE(Inputs!$B$29,244-1))</f>
        <v>53752</v>
      </c>
      <c r="C249" s="35" t="n">
        <f aca="false">IF(A249="","",G248)</f>
        <v>1884535.32264011</v>
      </c>
      <c r="D249" s="35" t="n">
        <f aca="false">IF(A249="","",MIN(Sizing!$B$32,C249*(1+Sizing!$B$24/12)))</f>
        <v>22511.8172418543</v>
      </c>
      <c r="E249" s="35" t="n">
        <f aca="false">IF(A249="","",C249*Sizing!$B$24/12)</f>
        <v>11385.7342409507</v>
      </c>
      <c r="F249" s="35" t="n">
        <f aca="false">IF(A249="","",D249-E249)</f>
        <v>11126.0830009037</v>
      </c>
      <c r="G249" s="35" t="n">
        <f aca="false">IF(A249="","",MAX(0,C249-F249))</f>
        <v>1873409.23963921</v>
      </c>
      <c r="H249" s="36" t="n">
        <f aca="false">IF(A249="","",IF(Inputs!$B$35="5-4-3-2-1 step-down",MAX(0,6-ROUNDUP(A249/12,0))/100,IF(Inputs!$B$35="3-2-1 step-down",MAX(0,4-ROUNDUP(A249/12,0))/100,0)))</f>
        <v>0</v>
      </c>
      <c r="I249" s="35" t="n">
        <f aca="false">IF(A249="","",G249*(1+H249))</f>
        <v>1873409.23963921</v>
      </c>
    </row>
    <row r="250" customFormat="false" ht="15" hidden="false" customHeight="false" outlineLevel="0" collapsed="false">
      <c r="A250" s="29" t="n">
        <f aca="false">IF(245&gt;Sizing!$B$25,"",245)</f>
        <v>245</v>
      </c>
      <c r="B250" s="30" t="n">
        <f aca="false">IF(A250="","",EDATE(Inputs!$B$29,245-1))</f>
        <v>53783</v>
      </c>
      <c r="C250" s="31" t="n">
        <f aca="false">IF(A250="","",G249)</f>
        <v>1873409.23963921</v>
      </c>
      <c r="D250" s="31" t="n">
        <f aca="false">IF(A250="","",MIN(Sizing!$B$32,C250*(1+Sizing!$B$24/12)))</f>
        <v>22511.8172418543</v>
      </c>
      <c r="E250" s="31" t="n">
        <f aca="false">IF(A250="","",C250*Sizing!$B$24/12)</f>
        <v>11318.5141561535</v>
      </c>
      <c r="F250" s="31" t="n">
        <f aca="false">IF(A250="","",D250-E250)</f>
        <v>11193.3030857008</v>
      </c>
      <c r="G250" s="31" t="n">
        <f aca="false">IF(A250="","",MAX(0,C250-F250))</f>
        <v>1862215.93655351</v>
      </c>
      <c r="H250" s="32" t="n">
        <f aca="false">IF(A250="","",IF(Inputs!$B$35="5-4-3-2-1 step-down",MAX(0,6-ROUNDUP(A250/12,0))/100,IF(Inputs!$B$35="3-2-1 step-down",MAX(0,4-ROUNDUP(A250/12,0))/100,0)))</f>
        <v>0</v>
      </c>
      <c r="I250" s="31" t="n">
        <f aca="false">IF(A250="","",G250*(1+H250))</f>
        <v>1862215.93655351</v>
      </c>
    </row>
    <row r="251" customFormat="false" ht="15" hidden="false" customHeight="false" outlineLevel="0" collapsed="false">
      <c r="A251" s="33" t="n">
        <f aca="false">IF(246&gt;Sizing!$B$25,"",246)</f>
        <v>246</v>
      </c>
      <c r="B251" s="34" t="n">
        <f aca="false">IF(A251="","",EDATE(Inputs!$B$29,246-1))</f>
        <v>53813</v>
      </c>
      <c r="C251" s="35" t="n">
        <f aca="false">IF(A251="","",G250)</f>
        <v>1862215.93655351</v>
      </c>
      <c r="D251" s="35" t="n">
        <f aca="false">IF(A251="","",MIN(Sizing!$B$32,C251*(1+Sizing!$B$24/12)))</f>
        <v>22511.8172418543</v>
      </c>
      <c r="E251" s="35" t="n">
        <f aca="false">IF(A251="","",C251*Sizing!$B$24/12)</f>
        <v>11250.8879500108</v>
      </c>
      <c r="F251" s="35" t="n">
        <f aca="false">IF(A251="","",D251-E251)</f>
        <v>11260.9292918436</v>
      </c>
      <c r="G251" s="35" t="n">
        <f aca="false">IF(A251="","",MAX(0,C251-F251))</f>
        <v>1850955.00726166</v>
      </c>
      <c r="H251" s="36" t="n">
        <f aca="false">IF(A251="","",IF(Inputs!$B$35="5-4-3-2-1 step-down",MAX(0,6-ROUNDUP(A251/12,0))/100,IF(Inputs!$B$35="3-2-1 step-down",MAX(0,4-ROUNDUP(A251/12,0))/100,0)))</f>
        <v>0</v>
      </c>
      <c r="I251" s="35" t="n">
        <f aca="false">IF(A251="","",G251*(1+H251))</f>
        <v>1850955.00726166</v>
      </c>
    </row>
    <row r="252" customFormat="false" ht="15" hidden="false" customHeight="false" outlineLevel="0" collapsed="false">
      <c r="A252" s="29" t="n">
        <f aca="false">IF(247&gt;Sizing!$B$25,"",247)</f>
        <v>247</v>
      </c>
      <c r="B252" s="30" t="n">
        <f aca="false">IF(A252="","",EDATE(Inputs!$B$29,247-1))</f>
        <v>53844</v>
      </c>
      <c r="C252" s="31" t="n">
        <f aca="false">IF(A252="","",G251)</f>
        <v>1850955.00726166</v>
      </c>
      <c r="D252" s="31" t="n">
        <f aca="false">IF(A252="","",MIN(Sizing!$B$32,C252*(1+Sizing!$B$24/12)))</f>
        <v>22511.8172418543</v>
      </c>
      <c r="E252" s="31" t="n">
        <f aca="false">IF(A252="","",C252*Sizing!$B$24/12)</f>
        <v>11182.8531688725</v>
      </c>
      <c r="F252" s="31" t="n">
        <f aca="false">IF(A252="","",D252-E252)</f>
        <v>11328.9640729818</v>
      </c>
      <c r="G252" s="31" t="n">
        <f aca="false">IF(A252="","",MAX(0,C252-F252))</f>
        <v>1839626.04318868</v>
      </c>
      <c r="H252" s="32" t="n">
        <f aca="false">IF(A252="","",IF(Inputs!$B$35="5-4-3-2-1 step-down",MAX(0,6-ROUNDUP(A252/12,0))/100,IF(Inputs!$B$35="3-2-1 step-down",MAX(0,4-ROUNDUP(A252/12,0))/100,0)))</f>
        <v>0</v>
      </c>
      <c r="I252" s="31" t="n">
        <f aca="false">IF(A252="","",G252*(1+H252))</f>
        <v>1839626.04318868</v>
      </c>
    </row>
    <row r="253" customFormat="false" ht="15" hidden="false" customHeight="false" outlineLevel="0" collapsed="false">
      <c r="A253" s="33" t="n">
        <f aca="false">IF(248&gt;Sizing!$B$25,"",248)</f>
        <v>248</v>
      </c>
      <c r="B253" s="34" t="n">
        <f aca="false">IF(A253="","",EDATE(Inputs!$B$29,248-1))</f>
        <v>53874</v>
      </c>
      <c r="C253" s="35" t="n">
        <f aca="false">IF(A253="","",G252)</f>
        <v>1839626.04318868</v>
      </c>
      <c r="D253" s="35" t="n">
        <f aca="false">IF(A253="","",MIN(Sizing!$B$32,C253*(1+Sizing!$B$24/12)))</f>
        <v>22511.8172418543</v>
      </c>
      <c r="E253" s="35" t="n">
        <f aca="false">IF(A253="","",C253*Sizing!$B$24/12)</f>
        <v>11114.4073442649</v>
      </c>
      <c r="F253" s="35" t="n">
        <f aca="false">IF(A253="","",D253-E253)</f>
        <v>11397.4098975894</v>
      </c>
      <c r="G253" s="35" t="n">
        <f aca="false">IF(A253="","",MAX(0,C253-F253))</f>
        <v>1828228.63329109</v>
      </c>
      <c r="H253" s="36" t="n">
        <f aca="false">IF(A253="","",IF(Inputs!$B$35="5-4-3-2-1 step-down",MAX(0,6-ROUNDUP(A253/12,0))/100,IF(Inputs!$B$35="3-2-1 step-down",MAX(0,4-ROUNDUP(A253/12,0))/100,0)))</f>
        <v>0</v>
      </c>
      <c r="I253" s="35" t="n">
        <f aca="false">IF(A253="","",G253*(1+H253))</f>
        <v>1828228.63329109</v>
      </c>
    </row>
    <row r="254" customFormat="false" ht="15" hidden="false" customHeight="false" outlineLevel="0" collapsed="false">
      <c r="A254" s="29" t="n">
        <f aca="false">IF(249&gt;Sizing!$B$25,"",249)</f>
        <v>249</v>
      </c>
      <c r="B254" s="30" t="n">
        <f aca="false">IF(A254="","",EDATE(Inputs!$B$29,249-1))</f>
        <v>53905</v>
      </c>
      <c r="C254" s="31" t="n">
        <f aca="false">IF(A254="","",G253)</f>
        <v>1828228.63329109</v>
      </c>
      <c r="D254" s="31" t="n">
        <f aca="false">IF(A254="","",MIN(Sizing!$B$32,C254*(1+Sizing!$B$24/12)))</f>
        <v>22511.8172418543</v>
      </c>
      <c r="E254" s="31" t="n">
        <f aca="false">IF(A254="","",C254*Sizing!$B$24/12)</f>
        <v>11045.5479928003</v>
      </c>
      <c r="F254" s="31" t="n">
        <f aca="false">IF(A254="","",D254-E254)</f>
        <v>11466.269249054</v>
      </c>
      <c r="G254" s="31" t="n">
        <f aca="false">IF(A254="","",MAX(0,C254-F254))</f>
        <v>1816762.36404204</v>
      </c>
      <c r="H254" s="32" t="n">
        <f aca="false">IF(A254="","",IF(Inputs!$B$35="5-4-3-2-1 step-down",MAX(0,6-ROUNDUP(A254/12,0))/100,IF(Inputs!$B$35="3-2-1 step-down",MAX(0,4-ROUNDUP(A254/12,0))/100,0)))</f>
        <v>0</v>
      </c>
      <c r="I254" s="31" t="n">
        <f aca="false">IF(A254="","",G254*(1+H254))</f>
        <v>1816762.36404204</v>
      </c>
    </row>
    <row r="255" customFormat="false" ht="15" hidden="false" customHeight="false" outlineLevel="0" collapsed="false">
      <c r="A255" s="33" t="n">
        <f aca="false">IF(250&gt;Sizing!$B$25,"",250)</f>
        <v>250</v>
      </c>
      <c r="B255" s="34" t="n">
        <f aca="false">IF(A255="","",EDATE(Inputs!$B$29,250-1))</f>
        <v>53936</v>
      </c>
      <c r="C255" s="35" t="n">
        <f aca="false">IF(A255="","",G254)</f>
        <v>1816762.36404204</v>
      </c>
      <c r="D255" s="35" t="n">
        <f aca="false">IF(A255="","",MIN(Sizing!$B$32,C255*(1+Sizing!$B$24/12)))</f>
        <v>22511.8172418543</v>
      </c>
      <c r="E255" s="35" t="n">
        <f aca="false">IF(A255="","",C255*Sizing!$B$24/12)</f>
        <v>10976.2726160873</v>
      </c>
      <c r="F255" s="35" t="n">
        <f aca="false">IF(A255="","",D255-E255)</f>
        <v>11535.544625767</v>
      </c>
      <c r="G255" s="35" t="n">
        <f aca="false">IF(A255="","",MAX(0,C255-F255))</f>
        <v>1805226.81941627</v>
      </c>
      <c r="H255" s="36" t="n">
        <f aca="false">IF(A255="","",IF(Inputs!$B$35="5-4-3-2-1 step-down",MAX(0,6-ROUNDUP(A255/12,0))/100,IF(Inputs!$B$35="3-2-1 step-down",MAX(0,4-ROUNDUP(A255/12,0))/100,0)))</f>
        <v>0</v>
      </c>
      <c r="I255" s="35" t="n">
        <f aca="false">IF(A255="","",G255*(1+H255))</f>
        <v>1805226.81941627</v>
      </c>
    </row>
    <row r="256" customFormat="false" ht="15" hidden="false" customHeight="false" outlineLevel="0" collapsed="false">
      <c r="A256" s="29" t="n">
        <f aca="false">IF(251&gt;Sizing!$B$25,"",251)</f>
        <v>251</v>
      </c>
      <c r="B256" s="30" t="n">
        <f aca="false">IF(A256="","",EDATE(Inputs!$B$29,251-1))</f>
        <v>53966</v>
      </c>
      <c r="C256" s="31" t="n">
        <f aca="false">IF(A256="","",G255)</f>
        <v>1805226.81941627</v>
      </c>
      <c r="D256" s="31" t="n">
        <f aca="false">IF(A256="","",MIN(Sizing!$B$32,C256*(1+Sizing!$B$24/12)))</f>
        <v>22511.8172418543</v>
      </c>
      <c r="E256" s="31" t="n">
        <f aca="false">IF(A256="","",C256*Sizing!$B$24/12)</f>
        <v>10906.57870064</v>
      </c>
      <c r="F256" s="31" t="n">
        <f aca="false">IF(A256="","",D256-E256)</f>
        <v>11605.2385412144</v>
      </c>
      <c r="G256" s="31" t="n">
        <f aca="false">IF(A256="","",MAX(0,C256-F256))</f>
        <v>1793621.58087506</v>
      </c>
      <c r="H256" s="32" t="n">
        <f aca="false">IF(A256="","",IF(Inputs!$B$35="5-4-3-2-1 step-down",MAX(0,6-ROUNDUP(A256/12,0))/100,IF(Inputs!$B$35="3-2-1 step-down",MAX(0,4-ROUNDUP(A256/12,0))/100,0)))</f>
        <v>0</v>
      </c>
      <c r="I256" s="31" t="n">
        <f aca="false">IF(A256="","",G256*(1+H256))</f>
        <v>1793621.58087506</v>
      </c>
    </row>
    <row r="257" customFormat="false" ht="15" hidden="false" customHeight="false" outlineLevel="0" collapsed="false">
      <c r="A257" s="33" t="n">
        <f aca="false">IF(252&gt;Sizing!$B$25,"",252)</f>
        <v>252</v>
      </c>
      <c r="B257" s="34" t="n">
        <f aca="false">IF(A257="","",EDATE(Inputs!$B$29,252-1))</f>
        <v>53997</v>
      </c>
      <c r="C257" s="35" t="n">
        <f aca="false">IF(A257="","",G256)</f>
        <v>1793621.58087506</v>
      </c>
      <c r="D257" s="35" t="n">
        <f aca="false">IF(A257="","",MIN(Sizing!$B$32,C257*(1+Sizing!$B$24/12)))</f>
        <v>22511.8172418543</v>
      </c>
      <c r="E257" s="35" t="n">
        <f aca="false">IF(A257="","",C257*Sizing!$B$24/12)</f>
        <v>10836.4637177868</v>
      </c>
      <c r="F257" s="35" t="n">
        <f aca="false">IF(A257="","",D257-E257)</f>
        <v>11675.3535240675</v>
      </c>
      <c r="G257" s="35" t="n">
        <f aca="false">IF(A257="","",MAX(0,C257-F257))</f>
        <v>1781946.22735099</v>
      </c>
      <c r="H257" s="36" t="n">
        <f aca="false">IF(A257="","",IF(Inputs!$B$35="5-4-3-2-1 step-down",MAX(0,6-ROUNDUP(A257/12,0))/100,IF(Inputs!$B$35="3-2-1 step-down",MAX(0,4-ROUNDUP(A257/12,0))/100,0)))</f>
        <v>0</v>
      </c>
      <c r="I257" s="35" t="n">
        <f aca="false">IF(A257="","",G257*(1+H257))</f>
        <v>1781946.22735099</v>
      </c>
    </row>
    <row r="258" customFormat="false" ht="15" hidden="false" customHeight="false" outlineLevel="0" collapsed="false">
      <c r="A258" s="29" t="n">
        <f aca="false">IF(253&gt;Sizing!$B$25,"",253)</f>
        <v>253</v>
      </c>
      <c r="B258" s="30" t="n">
        <f aca="false">IF(A258="","",EDATE(Inputs!$B$29,253-1))</f>
        <v>54027</v>
      </c>
      <c r="C258" s="31" t="n">
        <f aca="false">IF(A258="","",G257)</f>
        <v>1781946.22735099</v>
      </c>
      <c r="D258" s="31" t="n">
        <f aca="false">IF(A258="","",MIN(Sizing!$B$32,C258*(1+Sizing!$B$24/12)))</f>
        <v>22511.8172418543</v>
      </c>
      <c r="E258" s="31" t="n">
        <f aca="false">IF(A258="","",C258*Sizing!$B$24/12)</f>
        <v>10765.9251235789</v>
      </c>
      <c r="F258" s="31" t="n">
        <f aca="false">IF(A258="","",D258-E258)</f>
        <v>11745.8921182754</v>
      </c>
      <c r="G258" s="31" t="n">
        <f aca="false">IF(A258="","",MAX(0,C258-F258))</f>
        <v>1770200.33523271</v>
      </c>
      <c r="H258" s="32" t="n">
        <f aca="false">IF(A258="","",IF(Inputs!$B$35="5-4-3-2-1 step-down",MAX(0,6-ROUNDUP(A258/12,0))/100,IF(Inputs!$B$35="3-2-1 step-down",MAX(0,4-ROUNDUP(A258/12,0))/100,0)))</f>
        <v>0</v>
      </c>
      <c r="I258" s="31" t="n">
        <f aca="false">IF(A258="","",G258*(1+H258))</f>
        <v>1770200.33523271</v>
      </c>
    </row>
    <row r="259" customFormat="false" ht="15" hidden="false" customHeight="false" outlineLevel="0" collapsed="false">
      <c r="A259" s="33" t="n">
        <f aca="false">IF(254&gt;Sizing!$B$25,"",254)</f>
        <v>254</v>
      </c>
      <c r="B259" s="34" t="n">
        <f aca="false">IF(A259="","",EDATE(Inputs!$B$29,254-1))</f>
        <v>54058</v>
      </c>
      <c r="C259" s="35" t="n">
        <f aca="false">IF(A259="","",G258)</f>
        <v>1770200.33523271</v>
      </c>
      <c r="D259" s="35" t="n">
        <f aca="false">IF(A259="","",MIN(Sizing!$B$32,C259*(1+Sizing!$B$24/12)))</f>
        <v>22511.8172418543</v>
      </c>
      <c r="E259" s="35" t="n">
        <f aca="false">IF(A259="","",C259*Sizing!$B$24/12)</f>
        <v>10694.9603586976</v>
      </c>
      <c r="F259" s="35" t="n">
        <f aca="false">IF(A259="","",D259-E259)</f>
        <v>11816.8568831567</v>
      </c>
      <c r="G259" s="35" t="n">
        <f aca="false">IF(A259="","",MAX(0,C259-F259))</f>
        <v>1758383.47834956</v>
      </c>
      <c r="H259" s="36" t="n">
        <f aca="false">IF(A259="","",IF(Inputs!$B$35="5-4-3-2-1 step-down",MAX(0,6-ROUNDUP(A259/12,0))/100,IF(Inputs!$B$35="3-2-1 step-down",MAX(0,4-ROUNDUP(A259/12,0))/100,0)))</f>
        <v>0</v>
      </c>
      <c r="I259" s="35" t="n">
        <f aca="false">IF(A259="","",G259*(1+H259))</f>
        <v>1758383.47834956</v>
      </c>
    </row>
    <row r="260" customFormat="false" ht="15" hidden="false" customHeight="false" outlineLevel="0" collapsed="false">
      <c r="A260" s="29" t="n">
        <f aca="false">IF(255&gt;Sizing!$B$25,"",255)</f>
        <v>255</v>
      </c>
      <c r="B260" s="30" t="n">
        <f aca="false">IF(A260="","",EDATE(Inputs!$B$29,255-1))</f>
        <v>54089</v>
      </c>
      <c r="C260" s="31" t="n">
        <f aca="false">IF(A260="","",G259)</f>
        <v>1758383.47834956</v>
      </c>
      <c r="D260" s="31" t="n">
        <f aca="false">IF(A260="","",MIN(Sizing!$B$32,C260*(1+Sizing!$B$24/12)))</f>
        <v>22511.8172418543</v>
      </c>
      <c r="E260" s="31" t="n">
        <f aca="false">IF(A260="","",C260*Sizing!$B$24/12)</f>
        <v>10623.5668483619</v>
      </c>
      <c r="F260" s="31" t="n">
        <f aca="false">IF(A260="","",D260-E260)</f>
        <v>11888.2503934924</v>
      </c>
      <c r="G260" s="31" t="n">
        <f aca="false">IF(A260="","",MAX(0,C260-F260))</f>
        <v>1746495.22795606</v>
      </c>
      <c r="H260" s="32" t="n">
        <f aca="false">IF(A260="","",IF(Inputs!$B$35="5-4-3-2-1 step-down",MAX(0,6-ROUNDUP(A260/12,0))/100,IF(Inputs!$B$35="3-2-1 step-down",MAX(0,4-ROUNDUP(A260/12,0))/100,0)))</f>
        <v>0</v>
      </c>
      <c r="I260" s="31" t="n">
        <f aca="false">IF(A260="","",G260*(1+H260))</f>
        <v>1746495.22795606</v>
      </c>
    </row>
    <row r="261" customFormat="false" ht="15" hidden="false" customHeight="false" outlineLevel="0" collapsed="false">
      <c r="A261" s="33" t="n">
        <f aca="false">IF(256&gt;Sizing!$B$25,"",256)</f>
        <v>256</v>
      </c>
      <c r="B261" s="34" t="n">
        <f aca="false">IF(A261="","",EDATE(Inputs!$B$29,256-1))</f>
        <v>54118</v>
      </c>
      <c r="C261" s="35" t="n">
        <f aca="false">IF(A261="","",G260)</f>
        <v>1746495.22795606</v>
      </c>
      <c r="D261" s="35" t="n">
        <f aca="false">IF(A261="","",MIN(Sizing!$B$32,C261*(1+Sizing!$B$24/12)))</f>
        <v>22511.8172418543</v>
      </c>
      <c r="E261" s="35" t="n">
        <f aca="false">IF(A261="","",C261*Sizing!$B$24/12)</f>
        <v>10551.7420022346</v>
      </c>
      <c r="F261" s="35" t="n">
        <f aca="false">IF(A261="","",D261-E261)</f>
        <v>11960.0752396198</v>
      </c>
      <c r="G261" s="35" t="n">
        <f aca="false">IF(A261="","",MAX(0,C261-F261))</f>
        <v>1734535.15271644</v>
      </c>
      <c r="H261" s="36" t="n">
        <f aca="false">IF(A261="","",IF(Inputs!$B$35="5-4-3-2-1 step-down",MAX(0,6-ROUNDUP(A261/12,0))/100,IF(Inputs!$B$35="3-2-1 step-down",MAX(0,4-ROUNDUP(A261/12,0))/100,0)))</f>
        <v>0</v>
      </c>
      <c r="I261" s="35" t="n">
        <f aca="false">IF(A261="","",G261*(1+H261))</f>
        <v>1734535.15271644</v>
      </c>
    </row>
    <row r="262" customFormat="false" ht="15" hidden="false" customHeight="false" outlineLevel="0" collapsed="false">
      <c r="A262" s="29" t="n">
        <f aca="false">IF(257&gt;Sizing!$B$25,"",257)</f>
        <v>257</v>
      </c>
      <c r="B262" s="30" t="n">
        <f aca="false">IF(A262="","",EDATE(Inputs!$B$29,257-1))</f>
        <v>54149</v>
      </c>
      <c r="C262" s="31" t="n">
        <f aca="false">IF(A262="","",G261)</f>
        <v>1734535.15271644</v>
      </c>
      <c r="D262" s="31" t="n">
        <f aca="false">IF(A262="","",MIN(Sizing!$B$32,C262*(1+Sizing!$B$24/12)))</f>
        <v>22511.8172418543</v>
      </c>
      <c r="E262" s="31" t="n">
        <f aca="false">IF(A262="","",C262*Sizing!$B$24/12)</f>
        <v>10479.4832143285</v>
      </c>
      <c r="F262" s="31" t="n">
        <f aca="false">IF(A262="","",D262-E262)</f>
        <v>12032.3340275258</v>
      </c>
      <c r="G262" s="31" t="n">
        <f aca="false">IF(A262="","",MAX(0,C262-F262))</f>
        <v>1722502.81868892</v>
      </c>
      <c r="H262" s="32" t="n">
        <f aca="false">IF(A262="","",IF(Inputs!$B$35="5-4-3-2-1 step-down",MAX(0,6-ROUNDUP(A262/12,0))/100,IF(Inputs!$B$35="3-2-1 step-down",MAX(0,4-ROUNDUP(A262/12,0))/100,0)))</f>
        <v>0</v>
      </c>
      <c r="I262" s="31" t="n">
        <f aca="false">IF(A262="","",G262*(1+H262))</f>
        <v>1722502.81868892</v>
      </c>
    </row>
    <row r="263" customFormat="false" ht="15" hidden="false" customHeight="false" outlineLevel="0" collapsed="false">
      <c r="A263" s="33" t="n">
        <f aca="false">IF(258&gt;Sizing!$B$25,"",258)</f>
        <v>258</v>
      </c>
      <c r="B263" s="34" t="n">
        <f aca="false">IF(A263="","",EDATE(Inputs!$B$29,258-1))</f>
        <v>54179</v>
      </c>
      <c r="C263" s="35" t="n">
        <f aca="false">IF(A263="","",G262)</f>
        <v>1722502.81868892</v>
      </c>
      <c r="D263" s="35" t="n">
        <f aca="false">IF(A263="","",MIN(Sizing!$B$32,C263*(1+Sizing!$B$24/12)))</f>
        <v>22511.8172418543</v>
      </c>
      <c r="E263" s="35" t="n">
        <f aca="false">IF(A263="","",C263*Sizing!$B$24/12)</f>
        <v>10406.7878629122</v>
      </c>
      <c r="F263" s="35" t="n">
        <f aca="false">IF(A263="","",D263-E263)</f>
        <v>12105.0293789421</v>
      </c>
      <c r="G263" s="35" t="n">
        <f aca="false">IF(A263="","",MAX(0,C263-F263))</f>
        <v>1710397.78930998</v>
      </c>
      <c r="H263" s="36" t="n">
        <f aca="false">IF(A263="","",IF(Inputs!$B$35="5-4-3-2-1 step-down",MAX(0,6-ROUNDUP(A263/12,0))/100,IF(Inputs!$B$35="3-2-1 step-down",MAX(0,4-ROUNDUP(A263/12,0))/100,0)))</f>
        <v>0</v>
      </c>
      <c r="I263" s="35" t="n">
        <f aca="false">IF(A263="","",G263*(1+H263))</f>
        <v>1710397.78930998</v>
      </c>
    </row>
    <row r="264" customFormat="false" ht="15" hidden="false" customHeight="false" outlineLevel="0" collapsed="false">
      <c r="A264" s="29" t="n">
        <f aca="false">IF(259&gt;Sizing!$B$25,"",259)</f>
        <v>259</v>
      </c>
      <c r="B264" s="30" t="n">
        <f aca="false">IF(A264="","",EDATE(Inputs!$B$29,259-1))</f>
        <v>54210</v>
      </c>
      <c r="C264" s="31" t="n">
        <f aca="false">IF(A264="","",G263)</f>
        <v>1710397.78930998</v>
      </c>
      <c r="D264" s="31" t="n">
        <f aca="false">IF(A264="","",MIN(Sizing!$B$32,C264*(1+Sizing!$B$24/12)))</f>
        <v>22511.8172418543</v>
      </c>
      <c r="E264" s="31" t="n">
        <f aca="false">IF(A264="","",C264*Sizing!$B$24/12)</f>
        <v>10333.6533104144</v>
      </c>
      <c r="F264" s="31" t="n">
        <f aca="false">IF(A264="","",D264-E264)</f>
        <v>12178.1639314399</v>
      </c>
      <c r="G264" s="31" t="n">
        <f aca="false">IF(A264="","",MAX(0,C264-F264))</f>
        <v>1698219.62537854</v>
      </c>
      <c r="H264" s="32" t="n">
        <f aca="false">IF(A264="","",IF(Inputs!$B$35="5-4-3-2-1 step-down",MAX(0,6-ROUNDUP(A264/12,0))/100,IF(Inputs!$B$35="3-2-1 step-down",MAX(0,4-ROUNDUP(A264/12,0))/100,0)))</f>
        <v>0</v>
      </c>
      <c r="I264" s="31" t="n">
        <f aca="false">IF(A264="","",G264*(1+H264))</f>
        <v>1698219.62537854</v>
      </c>
    </row>
    <row r="265" customFormat="false" ht="15" hidden="false" customHeight="false" outlineLevel="0" collapsed="false">
      <c r="A265" s="33" t="n">
        <f aca="false">IF(260&gt;Sizing!$B$25,"",260)</f>
        <v>260</v>
      </c>
      <c r="B265" s="34" t="n">
        <f aca="false">IF(A265="","",EDATE(Inputs!$B$29,260-1))</f>
        <v>54240</v>
      </c>
      <c r="C265" s="35" t="n">
        <f aca="false">IF(A265="","",G264)</f>
        <v>1698219.62537854</v>
      </c>
      <c r="D265" s="35" t="n">
        <f aca="false">IF(A265="","",MIN(Sizing!$B$32,C265*(1+Sizing!$B$24/12)))</f>
        <v>22511.8172418543</v>
      </c>
      <c r="E265" s="35" t="n">
        <f aca="false">IF(A265="","",C265*Sizing!$B$24/12)</f>
        <v>10260.0769033287</v>
      </c>
      <c r="F265" s="35" t="n">
        <f aca="false">IF(A265="","",D265-E265)</f>
        <v>12251.7403385257</v>
      </c>
      <c r="G265" s="35" t="n">
        <f aca="false">IF(A265="","",MAX(0,C265-F265))</f>
        <v>1685967.88504001</v>
      </c>
      <c r="H265" s="36" t="n">
        <f aca="false">IF(A265="","",IF(Inputs!$B$35="5-4-3-2-1 step-down",MAX(0,6-ROUNDUP(A265/12,0))/100,IF(Inputs!$B$35="3-2-1 step-down",MAX(0,4-ROUNDUP(A265/12,0))/100,0)))</f>
        <v>0</v>
      </c>
      <c r="I265" s="35" t="n">
        <f aca="false">IF(A265="","",G265*(1+H265))</f>
        <v>1685967.88504001</v>
      </c>
    </row>
    <row r="266" customFormat="false" ht="15" hidden="false" customHeight="false" outlineLevel="0" collapsed="false">
      <c r="A266" s="29" t="n">
        <f aca="false">IF(261&gt;Sizing!$B$25,"",261)</f>
        <v>261</v>
      </c>
      <c r="B266" s="30" t="n">
        <f aca="false">IF(A266="","",EDATE(Inputs!$B$29,261-1))</f>
        <v>54271</v>
      </c>
      <c r="C266" s="31" t="n">
        <f aca="false">IF(A266="","",G265)</f>
        <v>1685967.88504001</v>
      </c>
      <c r="D266" s="31" t="n">
        <f aca="false">IF(A266="","",MIN(Sizing!$B$32,C266*(1+Sizing!$B$24/12)))</f>
        <v>22511.8172418543</v>
      </c>
      <c r="E266" s="31" t="n">
        <f aca="false">IF(A266="","",C266*Sizing!$B$24/12)</f>
        <v>10186.0559721167</v>
      </c>
      <c r="F266" s="31" t="n">
        <f aca="false">IF(A266="","",D266-E266)</f>
        <v>12325.7612697376</v>
      </c>
      <c r="G266" s="31" t="n">
        <f aca="false">IF(A266="","",MAX(0,C266-F266))</f>
        <v>1673642.12377027</v>
      </c>
      <c r="H266" s="32" t="n">
        <f aca="false">IF(A266="","",IF(Inputs!$B$35="5-4-3-2-1 step-down",MAX(0,6-ROUNDUP(A266/12,0))/100,IF(Inputs!$B$35="3-2-1 step-down",MAX(0,4-ROUNDUP(A266/12,0))/100,0)))</f>
        <v>0</v>
      </c>
      <c r="I266" s="31" t="n">
        <f aca="false">IF(A266="","",G266*(1+H266))</f>
        <v>1673642.12377027</v>
      </c>
    </row>
    <row r="267" customFormat="false" ht="15" hidden="false" customHeight="false" outlineLevel="0" collapsed="false">
      <c r="A267" s="33" t="n">
        <f aca="false">IF(262&gt;Sizing!$B$25,"",262)</f>
        <v>262</v>
      </c>
      <c r="B267" s="34" t="n">
        <f aca="false">IF(A267="","",EDATE(Inputs!$B$29,262-1))</f>
        <v>54302</v>
      </c>
      <c r="C267" s="35" t="n">
        <f aca="false">IF(A267="","",G266)</f>
        <v>1673642.12377027</v>
      </c>
      <c r="D267" s="35" t="n">
        <f aca="false">IF(A267="","",MIN(Sizing!$B$32,C267*(1+Sizing!$B$24/12)))</f>
        <v>22511.8172418543</v>
      </c>
      <c r="E267" s="35" t="n">
        <f aca="false">IF(A267="","",C267*Sizing!$B$24/12)</f>
        <v>10111.5878311121</v>
      </c>
      <c r="F267" s="35" t="n">
        <f aca="false">IF(A267="","",D267-E267)</f>
        <v>12400.2294107423</v>
      </c>
      <c r="G267" s="35" t="n">
        <f aca="false">IF(A267="","",MAX(0,C267-F267))</f>
        <v>1661241.89435953</v>
      </c>
      <c r="H267" s="36" t="n">
        <f aca="false">IF(A267="","",IF(Inputs!$B$35="5-4-3-2-1 step-down",MAX(0,6-ROUNDUP(A267/12,0))/100,IF(Inputs!$B$35="3-2-1 step-down",MAX(0,4-ROUNDUP(A267/12,0))/100,0)))</f>
        <v>0</v>
      </c>
      <c r="I267" s="35" t="n">
        <f aca="false">IF(A267="","",G267*(1+H267))</f>
        <v>1661241.89435953</v>
      </c>
    </row>
    <row r="268" customFormat="false" ht="15" hidden="false" customHeight="false" outlineLevel="0" collapsed="false">
      <c r="A268" s="29" t="n">
        <f aca="false">IF(263&gt;Sizing!$B$25,"",263)</f>
        <v>263</v>
      </c>
      <c r="B268" s="30" t="n">
        <f aca="false">IF(A268="","",EDATE(Inputs!$B$29,263-1))</f>
        <v>54332</v>
      </c>
      <c r="C268" s="31" t="n">
        <f aca="false">IF(A268="","",G267)</f>
        <v>1661241.89435953</v>
      </c>
      <c r="D268" s="31" t="n">
        <f aca="false">IF(A268="","",MIN(Sizing!$B$32,C268*(1+Sizing!$B$24/12)))</f>
        <v>22511.8172418543</v>
      </c>
      <c r="E268" s="31" t="n">
        <f aca="false">IF(A268="","",C268*Sizing!$B$24/12)</f>
        <v>10036.6697784222</v>
      </c>
      <c r="F268" s="31" t="n">
        <f aca="false">IF(A268="","",D268-E268)</f>
        <v>12475.1474634322</v>
      </c>
      <c r="G268" s="31" t="n">
        <f aca="false">IF(A268="","",MAX(0,C268-F268))</f>
        <v>1648766.7468961</v>
      </c>
      <c r="H268" s="32" t="n">
        <f aca="false">IF(A268="","",IF(Inputs!$B$35="5-4-3-2-1 step-down",MAX(0,6-ROUNDUP(A268/12,0))/100,IF(Inputs!$B$35="3-2-1 step-down",MAX(0,4-ROUNDUP(A268/12,0))/100,0)))</f>
        <v>0</v>
      </c>
      <c r="I268" s="31" t="n">
        <f aca="false">IF(A268="","",G268*(1+H268))</f>
        <v>1648766.7468961</v>
      </c>
    </row>
    <row r="269" customFormat="false" ht="15" hidden="false" customHeight="false" outlineLevel="0" collapsed="false">
      <c r="A269" s="33" t="n">
        <f aca="false">IF(264&gt;Sizing!$B$25,"",264)</f>
        <v>264</v>
      </c>
      <c r="B269" s="34" t="n">
        <f aca="false">IF(A269="","",EDATE(Inputs!$B$29,264-1))</f>
        <v>54363</v>
      </c>
      <c r="C269" s="35" t="n">
        <f aca="false">IF(A269="","",G268)</f>
        <v>1648766.7468961</v>
      </c>
      <c r="D269" s="35" t="n">
        <f aca="false">IF(A269="","",MIN(Sizing!$B$32,C269*(1+Sizing!$B$24/12)))</f>
        <v>22511.8172418543</v>
      </c>
      <c r="E269" s="35" t="n">
        <f aca="false">IF(A269="","",C269*Sizing!$B$24/12)</f>
        <v>9961.2990958306</v>
      </c>
      <c r="F269" s="35" t="n">
        <f aca="false">IF(A269="","",D269-E269)</f>
        <v>12550.5181460237</v>
      </c>
      <c r="G269" s="35" t="n">
        <f aca="false">IF(A269="","",MAX(0,C269-F269))</f>
        <v>1636216.22875007</v>
      </c>
      <c r="H269" s="36" t="n">
        <f aca="false">IF(A269="","",IF(Inputs!$B$35="5-4-3-2-1 step-down",MAX(0,6-ROUNDUP(A269/12,0))/100,IF(Inputs!$B$35="3-2-1 step-down",MAX(0,4-ROUNDUP(A269/12,0))/100,0)))</f>
        <v>0</v>
      </c>
      <c r="I269" s="35" t="n">
        <f aca="false">IF(A269="","",G269*(1+H269))</f>
        <v>1636216.22875007</v>
      </c>
    </row>
    <row r="270" customFormat="false" ht="15" hidden="false" customHeight="false" outlineLevel="0" collapsed="false">
      <c r="A270" s="29" t="n">
        <f aca="false">IF(265&gt;Sizing!$B$25,"",265)</f>
        <v>265</v>
      </c>
      <c r="B270" s="30" t="n">
        <f aca="false">IF(A270="","",EDATE(Inputs!$B$29,265-1))</f>
        <v>54393</v>
      </c>
      <c r="C270" s="31" t="n">
        <f aca="false">IF(A270="","",G269)</f>
        <v>1636216.22875007</v>
      </c>
      <c r="D270" s="31" t="n">
        <f aca="false">IF(A270="","",MIN(Sizing!$B$32,C270*(1+Sizing!$B$24/12)))</f>
        <v>22511.8172418543</v>
      </c>
      <c r="E270" s="31" t="n">
        <f aca="false">IF(A270="","",C270*Sizing!$B$24/12)</f>
        <v>9885.47304869837</v>
      </c>
      <c r="F270" s="31" t="n">
        <f aca="false">IF(A270="","",D270-E270)</f>
        <v>12626.344193156</v>
      </c>
      <c r="G270" s="31" t="n">
        <f aca="false">IF(A270="","",MAX(0,C270-F270))</f>
        <v>1623589.88455692</v>
      </c>
      <c r="H270" s="32" t="n">
        <f aca="false">IF(A270="","",IF(Inputs!$B$35="5-4-3-2-1 step-down",MAX(0,6-ROUNDUP(A270/12,0))/100,IF(Inputs!$B$35="3-2-1 step-down",MAX(0,4-ROUNDUP(A270/12,0))/100,0)))</f>
        <v>0</v>
      </c>
      <c r="I270" s="31" t="n">
        <f aca="false">IF(A270="","",G270*(1+H270))</f>
        <v>1623589.88455692</v>
      </c>
    </row>
    <row r="271" customFormat="false" ht="15" hidden="false" customHeight="false" outlineLevel="0" collapsed="false">
      <c r="A271" s="33" t="n">
        <f aca="false">IF(266&gt;Sizing!$B$25,"",266)</f>
        <v>266</v>
      </c>
      <c r="B271" s="34" t="n">
        <f aca="false">IF(A271="","",EDATE(Inputs!$B$29,266-1))</f>
        <v>54424</v>
      </c>
      <c r="C271" s="35" t="n">
        <f aca="false">IF(A271="","",G270)</f>
        <v>1623589.88455692</v>
      </c>
      <c r="D271" s="35" t="n">
        <f aca="false">IF(A271="","",MIN(Sizing!$B$32,C271*(1+Sizing!$B$24/12)))</f>
        <v>22511.8172418543</v>
      </c>
      <c r="E271" s="35" t="n">
        <f aca="false">IF(A271="","",C271*Sizing!$B$24/12)</f>
        <v>9809.18888586472</v>
      </c>
      <c r="F271" s="35" t="n">
        <f aca="false">IF(A271="","",D271-E271)</f>
        <v>12702.6283559896</v>
      </c>
      <c r="G271" s="35" t="n">
        <f aca="false">IF(A271="","",MAX(0,C271-F271))</f>
        <v>1610887.25620093</v>
      </c>
      <c r="H271" s="36" t="n">
        <f aca="false">IF(A271="","",IF(Inputs!$B$35="5-4-3-2-1 step-down",MAX(0,6-ROUNDUP(A271/12,0))/100,IF(Inputs!$B$35="3-2-1 step-down",MAX(0,4-ROUNDUP(A271/12,0))/100,0)))</f>
        <v>0</v>
      </c>
      <c r="I271" s="35" t="n">
        <f aca="false">IF(A271="","",G271*(1+H271))</f>
        <v>1610887.25620093</v>
      </c>
    </row>
    <row r="272" customFormat="false" ht="15" hidden="false" customHeight="false" outlineLevel="0" collapsed="false">
      <c r="A272" s="29" t="n">
        <f aca="false">IF(267&gt;Sizing!$B$25,"",267)</f>
        <v>267</v>
      </c>
      <c r="B272" s="30" t="n">
        <f aca="false">IF(A272="","",EDATE(Inputs!$B$29,267-1))</f>
        <v>54455</v>
      </c>
      <c r="C272" s="31" t="n">
        <f aca="false">IF(A272="","",G271)</f>
        <v>1610887.25620093</v>
      </c>
      <c r="D272" s="31" t="n">
        <f aca="false">IF(A272="","",MIN(Sizing!$B$32,C272*(1+Sizing!$B$24/12)))</f>
        <v>22511.8172418543</v>
      </c>
      <c r="E272" s="31" t="n">
        <f aca="false">IF(A272="","",C272*Sizing!$B$24/12)</f>
        <v>9732.44383954728</v>
      </c>
      <c r="F272" s="31" t="n">
        <f aca="false">IF(A272="","",D272-E272)</f>
        <v>12779.3734023071</v>
      </c>
      <c r="G272" s="31" t="n">
        <f aca="false">IF(A272="","",MAX(0,C272-F272))</f>
        <v>1598107.88279862</v>
      </c>
      <c r="H272" s="32" t="n">
        <f aca="false">IF(A272="","",IF(Inputs!$B$35="5-4-3-2-1 step-down",MAX(0,6-ROUNDUP(A272/12,0))/100,IF(Inputs!$B$35="3-2-1 step-down",MAX(0,4-ROUNDUP(A272/12,0))/100,0)))</f>
        <v>0</v>
      </c>
      <c r="I272" s="31" t="n">
        <f aca="false">IF(A272="","",G272*(1+H272))</f>
        <v>1598107.88279862</v>
      </c>
    </row>
    <row r="273" customFormat="false" ht="15" hidden="false" customHeight="false" outlineLevel="0" collapsed="false">
      <c r="A273" s="33" t="n">
        <f aca="false">IF(268&gt;Sizing!$B$25,"",268)</f>
        <v>268</v>
      </c>
      <c r="B273" s="34" t="n">
        <f aca="false">IF(A273="","",EDATE(Inputs!$B$29,268-1))</f>
        <v>54483</v>
      </c>
      <c r="C273" s="35" t="n">
        <f aca="false">IF(A273="","",G272)</f>
        <v>1598107.88279862</v>
      </c>
      <c r="D273" s="35" t="n">
        <f aca="false">IF(A273="","",MIN(Sizing!$B$32,C273*(1+Sizing!$B$24/12)))</f>
        <v>22511.8172418543</v>
      </c>
      <c r="E273" s="35" t="n">
        <f aca="false">IF(A273="","",C273*Sizing!$B$24/12)</f>
        <v>9655.23512524168</v>
      </c>
      <c r="F273" s="35" t="n">
        <f aca="false">IF(A273="","",D273-E273)</f>
        <v>12856.5821166127</v>
      </c>
      <c r="G273" s="35" t="n">
        <f aca="false">IF(A273="","",MAX(0,C273-F273))</f>
        <v>1585251.30068201</v>
      </c>
      <c r="H273" s="36" t="n">
        <f aca="false">IF(A273="","",IF(Inputs!$B$35="5-4-3-2-1 step-down",MAX(0,6-ROUNDUP(A273/12,0))/100,IF(Inputs!$B$35="3-2-1 step-down",MAX(0,4-ROUNDUP(A273/12,0))/100,0)))</f>
        <v>0</v>
      </c>
      <c r="I273" s="35" t="n">
        <f aca="false">IF(A273="","",G273*(1+H273))</f>
        <v>1585251.30068201</v>
      </c>
    </row>
    <row r="274" customFormat="false" ht="15" hidden="false" customHeight="false" outlineLevel="0" collapsed="false">
      <c r="A274" s="29" t="n">
        <f aca="false">IF(269&gt;Sizing!$B$25,"",269)</f>
        <v>269</v>
      </c>
      <c r="B274" s="30" t="n">
        <f aca="false">IF(A274="","",EDATE(Inputs!$B$29,269-1))</f>
        <v>54514</v>
      </c>
      <c r="C274" s="31" t="n">
        <f aca="false">IF(A274="","",G273)</f>
        <v>1585251.30068201</v>
      </c>
      <c r="D274" s="31" t="n">
        <f aca="false">IF(A274="","",MIN(Sizing!$B$32,C274*(1+Sizing!$B$24/12)))</f>
        <v>22511.8172418543</v>
      </c>
      <c r="E274" s="31" t="n">
        <f aca="false">IF(A274="","",C274*Sizing!$B$24/12)</f>
        <v>9577.55994162047</v>
      </c>
      <c r="F274" s="31" t="n">
        <f aca="false">IF(A274="","",D274-E274)</f>
        <v>12934.2573002339</v>
      </c>
      <c r="G274" s="31" t="n">
        <f aca="false">IF(A274="","",MAX(0,C274-F274))</f>
        <v>1572317.04338178</v>
      </c>
      <c r="H274" s="32" t="n">
        <f aca="false">IF(A274="","",IF(Inputs!$B$35="5-4-3-2-1 step-down",MAX(0,6-ROUNDUP(A274/12,0))/100,IF(Inputs!$B$35="3-2-1 step-down",MAX(0,4-ROUNDUP(A274/12,0))/100,0)))</f>
        <v>0</v>
      </c>
      <c r="I274" s="31" t="n">
        <f aca="false">IF(A274="","",G274*(1+H274))</f>
        <v>1572317.04338178</v>
      </c>
    </row>
    <row r="275" customFormat="false" ht="15" hidden="false" customHeight="false" outlineLevel="0" collapsed="false">
      <c r="A275" s="33" t="n">
        <f aca="false">IF(270&gt;Sizing!$B$25,"",270)</f>
        <v>270</v>
      </c>
      <c r="B275" s="34" t="n">
        <f aca="false">IF(A275="","",EDATE(Inputs!$B$29,270-1))</f>
        <v>54544</v>
      </c>
      <c r="C275" s="35" t="n">
        <f aca="false">IF(A275="","",G274)</f>
        <v>1572317.04338178</v>
      </c>
      <c r="D275" s="35" t="n">
        <f aca="false">IF(A275="","",MIN(Sizing!$B$32,C275*(1+Sizing!$B$24/12)))</f>
        <v>22511.8172418543</v>
      </c>
      <c r="E275" s="35" t="n">
        <f aca="false">IF(A275="","",C275*Sizing!$B$24/12)</f>
        <v>9499.41547043156</v>
      </c>
      <c r="F275" s="35" t="n">
        <f aca="false">IF(A275="","",D275-E275)</f>
        <v>13012.4017714228</v>
      </c>
      <c r="G275" s="35" t="n">
        <f aca="false">IF(A275="","",MAX(0,C275-F275))</f>
        <v>1559304.64161035</v>
      </c>
      <c r="H275" s="36" t="n">
        <f aca="false">IF(A275="","",IF(Inputs!$B$35="5-4-3-2-1 step-down",MAX(0,6-ROUNDUP(A275/12,0))/100,IF(Inputs!$B$35="3-2-1 step-down",MAX(0,4-ROUNDUP(A275/12,0))/100,0)))</f>
        <v>0</v>
      </c>
      <c r="I275" s="35" t="n">
        <f aca="false">IF(A275="","",G275*(1+H275))</f>
        <v>1559304.64161035</v>
      </c>
    </row>
    <row r="276" customFormat="false" ht="15" hidden="false" customHeight="false" outlineLevel="0" collapsed="false">
      <c r="A276" s="29" t="n">
        <f aca="false">IF(271&gt;Sizing!$B$25,"",271)</f>
        <v>271</v>
      </c>
      <c r="B276" s="30" t="n">
        <f aca="false">IF(A276="","",EDATE(Inputs!$B$29,271-1))</f>
        <v>54575</v>
      </c>
      <c r="C276" s="31" t="n">
        <f aca="false">IF(A276="","",G275)</f>
        <v>1559304.64161035</v>
      </c>
      <c r="D276" s="31" t="n">
        <f aca="false">IF(A276="","",MIN(Sizing!$B$32,C276*(1+Sizing!$B$24/12)))</f>
        <v>22511.8172418543</v>
      </c>
      <c r="E276" s="31" t="n">
        <f aca="false">IF(A276="","",C276*Sizing!$B$24/12)</f>
        <v>9420.79887639588</v>
      </c>
      <c r="F276" s="31" t="n">
        <f aca="false">IF(A276="","",D276-E276)</f>
        <v>13091.0183654585</v>
      </c>
      <c r="G276" s="31" t="n">
        <f aca="false">IF(A276="","",MAX(0,C276-F276))</f>
        <v>1546213.62324489</v>
      </c>
      <c r="H276" s="32" t="n">
        <f aca="false">IF(A276="","",IF(Inputs!$B$35="5-4-3-2-1 step-down",MAX(0,6-ROUNDUP(A276/12,0))/100,IF(Inputs!$B$35="3-2-1 step-down",MAX(0,4-ROUNDUP(A276/12,0))/100,0)))</f>
        <v>0</v>
      </c>
      <c r="I276" s="31" t="n">
        <f aca="false">IF(A276="","",G276*(1+H276))</f>
        <v>1546213.62324489</v>
      </c>
    </row>
    <row r="277" customFormat="false" ht="15" hidden="false" customHeight="false" outlineLevel="0" collapsed="false">
      <c r="A277" s="33" t="n">
        <f aca="false">IF(272&gt;Sizing!$B$25,"",272)</f>
        <v>272</v>
      </c>
      <c r="B277" s="34" t="n">
        <f aca="false">IF(A277="","",EDATE(Inputs!$B$29,272-1))</f>
        <v>54605</v>
      </c>
      <c r="C277" s="35" t="n">
        <f aca="false">IF(A277="","",G276)</f>
        <v>1546213.62324489</v>
      </c>
      <c r="D277" s="35" t="n">
        <f aca="false">IF(A277="","",MIN(Sizing!$B$32,C277*(1+Sizing!$B$24/12)))</f>
        <v>22511.8172418543</v>
      </c>
      <c r="E277" s="35" t="n">
        <f aca="false">IF(A277="","",C277*Sizing!$B$24/12)</f>
        <v>9341.70730710457</v>
      </c>
      <c r="F277" s="35" t="n">
        <f aca="false">IF(A277="","",D277-E277)</f>
        <v>13170.1099347498</v>
      </c>
      <c r="G277" s="35" t="n">
        <f aca="false">IF(A277="","",MAX(0,C277-F277))</f>
        <v>1533043.51331014</v>
      </c>
      <c r="H277" s="36" t="n">
        <f aca="false">IF(A277="","",IF(Inputs!$B$35="5-4-3-2-1 step-down",MAX(0,6-ROUNDUP(A277/12,0))/100,IF(Inputs!$B$35="3-2-1 step-down",MAX(0,4-ROUNDUP(A277/12,0))/100,0)))</f>
        <v>0</v>
      </c>
      <c r="I277" s="35" t="n">
        <f aca="false">IF(A277="","",G277*(1+H277))</f>
        <v>1533043.51331014</v>
      </c>
    </row>
    <row r="278" customFormat="false" ht="15" hidden="false" customHeight="false" outlineLevel="0" collapsed="false">
      <c r="A278" s="29" t="n">
        <f aca="false">IF(273&gt;Sizing!$B$25,"",273)</f>
        <v>273</v>
      </c>
      <c r="B278" s="30" t="n">
        <f aca="false">IF(A278="","",EDATE(Inputs!$B$29,273-1))</f>
        <v>54636</v>
      </c>
      <c r="C278" s="31" t="n">
        <f aca="false">IF(A278="","",G277)</f>
        <v>1533043.51331014</v>
      </c>
      <c r="D278" s="31" t="n">
        <f aca="false">IF(A278="","",MIN(Sizing!$B$32,C278*(1+Sizing!$B$24/12)))</f>
        <v>22511.8172418543</v>
      </c>
      <c r="E278" s="31" t="n">
        <f aca="false">IF(A278="","",C278*Sizing!$B$24/12)</f>
        <v>9262.13789291546</v>
      </c>
      <c r="F278" s="31" t="n">
        <f aca="false">IF(A278="","",D278-E278)</f>
        <v>13249.6793489389</v>
      </c>
      <c r="G278" s="31" t="n">
        <f aca="false">IF(A278="","",MAX(0,C278-F278))</f>
        <v>1519793.83396121</v>
      </c>
      <c r="H278" s="32" t="n">
        <f aca="false">IF(A278="","",IF(Inputs!$B$35="5-4-3-2-1 step-down",MAX(0,6-ROUNDUP(A278/12,0))/100,IF(Inputs!$B$35="3-2-1 step-down",MAX(0,4-ROUNDUP(A278/12,0))/100,0)))</f>
        <v>0</v>
      </c>
      <c r="I278" s="31" t="n">
        <f aca="false">IF(A278="","",G278*(1+H278))</f>
        <v>1519793.83396121</v>
      </c>
    </row>
    <row r="279" customFormat="false" ht="15" hidden="false" customHeight="false" outlineLevel="0" collapsed="false">
      <c r="A279" s="33" t="n">
        <f aca="false">IF(274&gt;Sizing!$B$25,"",274)</f>
        <v>274</v>
      </c>
      <c r="B279" s="34" t="n">
        <f aca="false">IF(A279="","",EDATE(Inputs!$B$29,274-1))</f>
        <v>54667</v>
      </c>
      <c r="C279" s="35" t="n">
        <f aca="false">IF(A279="","",G278)</f>
        <v>1519793.83396121</v>
      </c>
      <c r="D279" s="35" t="n">
        <f aca="false">IF(A279="","",MIN(Sizing!$B$32,C279*(1+Sizing!$B$24/12)))</f>
        <v>22511.8172418543</v>
      </c>
      <c r="E279" s="35" t="n">
        <f aca="false">IF(A279="","",C279*Sizing!$B$24/12)</f>
        <v>9182.08774684895</v>
      </c>
      <c r="F279" s="35" t="n">
        <f aca="false">IF(A279="","",D279-E279)</f>
        <v>13329.7294950054</v>
      </c>
      <c r="G279" s="35" t="n">
        <f aca="false">IF(A279="","",MAX(0,C279-F279))</f>
        <v>1506464.1044662</v>
      </c>
      <c r="H279" s="36" t="n">
        <f aca="false">IF(A279="","",IF(Inputs!$B$35="5-4-3-2-1 step-down",MAX(0,6-ROUNDUP(A279/12,0))/100,IF(Inputs!$B$35="3-2-1 step-down",MAX(0,4-ROUNDUP(A279/12,0))/100,0)))</f>
        <v>0</v>
      </c>
      <c r="I279" s="35" t="n">
        <f aca="false">IF(A279="","",G279*(1+H279))</f>
        <v>1506464.1044662</v>
      </c>
    </row>
    <row r="280" customFormat="false" ht="15" hidden="false" customHeight="false" outlineLevel="0" collapsed="false">
      <c r="A280" s="29" t="n">
        <f aca="false">IF(275&gt;Sizing!$B$25,"",275)</f>
        <v>275</v>
      </c>
      <c r="B280" s="30" t="n">
        <f aca="false">IF(A280="","",EDATE(Inputs!$B$29,275-1))</f>
        <v>54697</v>
      </c>
      <c r="C280" s="31" t="n">
        <f aca="false">IF(A280="","",G279)</f>
        <v>1506464.1044662</v>
      </c>
      <c r="D280" s="31" t="n">
        <f aca="false">IF(A280="","",MIN(Sizing!$B$32,C280*(1+Sizing!$B$24/12)))</f>
        <v>22511.8172418543</v>
      </c>
      <c r="E280" s="31" t="n">
        <f aca="false">IF(A280="","",C280*Sizing!$B$24/12)</f>
        <v>9101.55396448329</v>
      </c>
      <c r="F280" s="31" t="n">
        <f aca="false">IF(A280="","",D280-E280)</f>
        <v>13410.263277371</v>
      </c>
      <c r="G280" s="31" t="n">
        <f aca="false">IF(A280="","",MAX(0,C280-F280))</f>
        <v>1493053.84118883</v>
      </c>
      <c r="H280" s="32" t="n">
        <f aca="false">IF(A280="","",IF(Inputs!$B$35="5-4-3-2-1 step-down",MAX(0,6-ROUNDUP(A280/12,0))/100,IF(Inputs!$B$35="3-2-1 step-down",MAX(0,4-ROUNDUP(A280/12,0))/100,0)))</f>
        <v>0</v>
      </c>
      <c r="I280" s="31" t="n">
        <f aca="false">IF(A280="","",G280*(1+H280))</f>
        <v>1493053.84118883</v>
      </c>
    </row>
    <row r="281" customFormat="false" ht="15" hidden="false" customHeight="false" outlineLevel="0" collapsed="false">
      <c r="A281" s="33" t="n">
        <f aca="false">IF(276&gt;Sizing!$B$25,"",276)</f>
        <v>276</v>
      </c>
      <c r="B281" s="34" t="n">
        <f aca="false">IF(A281="","",EDATE(Inputs!$B$29,276-1))</f>
        <v>54728</v>
      </c>
      <c r="C281" s="35" t="n">
        <f aca="false">IF(A281="","",G280)</f>
        <v>1493053.84118883</v>
      </c>
      <c r="D281" s="35" t="n">
        <f aca="false">IF(A281="","",MIN(Sizing!$B$32,C281*(1+Sizing!$B$24/12)))</f>
        <v>22511.8172418543</v>
      </c>
      <c r="E281" s="35" t="n">
        <f aca="false">IF(A281="","",C281*Sizing!$B$24/12)</f>
        <v>9020.53362384918</v>
      </c>
      <c r="F281" s="35" t="n">
        <f aca="false">IF(A281="","",D281-E281)</f>
        <v>13491.2836180052</v>
      </c>
      <c r="G281" s="35" t="n">
        <f aca="false">IF(A281="","",MAX(0,C281-F281))</f>
        <v>1479562.55757082</v>
      </c>
      <c r="H281" s="36" t="n">
        <f aca="false">IF(A281="","",IF(Inputs!$B$35="5-4-3-2-1 step-down",MAX(0,6-ROUNDUP(A281/12,0))/100,IF(Inputs!$B$35="3-2-1 step-down",MAX(0,4-ROUNDUP(A281/12,0))/100,0)))</f>
        <v>0</v>
      </c>
      <c r="I281" s="35" t="n">
        <f aca="false">IF(A281="","",G281*(1+H281))</f>
        <v>1479562.55757082</v>
      </c>
    </row>
    <row r="282" customFormat="false" ht="15" hidden="false" customHeight="false" outlineLevel="0" collapsed="false">
      <c r="A282" s="29" t="n">
        <f aca="false">IF(277&gt;Sizing!$B$25,"",277)</f>
        <v>277</v>
      </c>
      <c r="B282" s="30" t="n">
        <f aca="false">IF(A282="","",EDATE(Inputs!$B$29,277-1))</f>
        <v>54758</v>
      </c>
      <c r="C282" s="31" t="n">
        <f aca="false">IF(A282="","",G281)</f>
        <v>1479562.55757082</v>
      </c>
      <c r="D282" s="31" t="n">
        <f aca="false">IF(A282="","",MIN(Sizing!$B$32,C282*(1+Sizing!$B$24/12)))</f>
        <v>22511.8172418543</v>
      </c>
      <c r="E282" s="31" t="n">
        <f aca="false">IF(A282="","",C282*Sizing!$B$24/12)</f>
        <v>8939.02378532373</v>
      </c>
      <c r="F282" s="31" t="n">
        <f aca="false">IF(A282="","",D282-E282)</f>
        <v>13572.7934565306</v>
      </c>
      <c r="G282" s="31" t="n">
        <f aca="false">IF(A282="","",MAX(0,C282-F282))</f>
        <v>1465989.76411429</v>
      </c>
      <c r="H282" s="32" t="n">
        <f aca="false">IF(A282="","",IF(Inputs!$B$35="5-4-3-2-1 step-down",MAX(0,6-ROUNDUP(A282/12,0))/100,IF(Inputs!$B$35="3-2-1 step-down",MAX(0,4-ROUNDUP(A282/12,0))/100,0)))</f>
        <v>0</v>
      </c>
      <c r="I282" s="31" t="n">
        <f aca="false">IF(A282="","",G282*(1+H282))</f>
        <v>1465989.76411429</v>
      </c>
    </row>
    <row r="283" customFormat="false" ht="15" hidden="false" customHeight="false" outlineLevel="0" collapsed="false">
      <c r="A283" s="33" t="n">
        <f aca="false">IF(278&gt;Sizing!$B$25,"",278)</f>
        <v>278</v>
      </c>
      <c r="B283" s="34" t="n">
        <f aca="false">IF(A283="","",EDATE(Inputs!$B$29,278-1))</f>
        <v>54789</v>
      </c>
      <c r="C283" s="35" t="n">
        <f aca="false">IF(A283="","",G282)</f>
        <v>1465989.76411429</v>
      </c>
      <c r="D283" s="35" t="n">
        <f aca="false">IF(A283="","",MIN(Sizing!$B$32,C283*(1+Sizing!$B$24/12)))</f>
        <v>22511.8172418543</v>
      </c>
      <c r="E283" s="35" t="n">
        <f aca="false">IF(A283="","",C283*Sizing!$B$24/12)</f>
        <v>8857.02149152386</v>
      </c>
      <c r="F283" s="35" t="n">
        <f aca="false">IF(A283="","",D283-E283)</f>
        <v>13654.7957503305</v>
      </c>
      <c r="G283" s="35" t="n">
        <f aca="false">IF(A283="","",MAX(0,C283-F283))</f>
        <v>1452334.96836396</v>
      </c>
      <c r="H283" s="36" t="n">
        <f aca="false">IF(A283="","",IF(Inputs!$B$35="5-4-3-2-1 step-down",MAX(0,6-ROUNDUP(A283/12,0))/100,IF(Inputs!$B$35="3-2-1 step-down",MAX(0,4-ROUNDUP(A283/12,0))/100,0)))</f>
        <v>0</v>
      </c>
      <c r="I283" s="35" t="n">
        <f aca="false">IF(A283="","",G283*(1+H283))</f>
        <v>1452334.96836396</v>
      </c>
    </row>
    <row r="284" customFormat="false" ht="15" hidden="false" customHeight="false" outlineLevel="0" collapsed="false">
      <c r="A284" s="29" t="n">
        <f aca="false">IF(279&gt;Sizing!$B$25,"",279)</f>
        <v>279</v>
      </c>
      <c r="B284" s="30" t="n">
        <f aca="false">IF(A284="","",EDATE(Inputs!$B$29,279-1))</f>
        <v>54820</v>
      </c>
      <c r="C284" s="31" t="n">
        <f aca="false">IF(A284="","",G283)</f>
        <v>1452334.96836396</v>
      </c>
      <c r="D284" s="31" t="n">
        <f aca="false">IF(A284="","",MIN(Sizing!$B$32,C284*(1+Sizing!$B$24/12)))</f>
        <v>22511.8172418543</v>
      </c>
      <c r="E284" s="31" t="n">
        <f aca="false">IF(A284="","",C284*Sizing!$B$24/12)</f>
        <v>8774.52376719894</v>
      </c>
      <c r="F284" s="31" t="n">
        <f aca="false">IF(A284="","",D284-E284)</f>
        <v>13737.2934746554</v>
      </c>
      <c r="G284" s="31" t="n">
        <f aca="false">IF(A284="","",MAX(0,C284-F284))</f>
        <v>1438597.67488931</v>
      </c>
      <c r="H284" s="32" t="n">
        <f aca="false">IF(A284="","",IF(Inputs!$B$35="5-4-3-2-1 step-down",MAX(0,6-ROUNDUP(A284/12,0))/100,IF(Inputs!$B$35="3-2-1 step-down",MAX(0,4-ROUNDUP(A284/12,0))/100,0)))</f>
        <v>0</v>
      </c>
      <c r="I284" s="31" t="n">
        <f aca="false">IF(A284="","",G284*(1+H284))</f>
        <v>1438597.67488931</v>
      </c>
    </row>
    <row r="285" customFormat="false" ht="15" hidden="false" customHeight="false" outlineLevel="0" collapsed="false">
      <c r="A285" s="33" t="n">
        <f aca="false">IF(280&gt;Sizing!$B$25,"",280)</f>
        <v>280</v>
      </c>
      <c r="B285" s="34" t="n">
        <f aca="false">IF(A285="","",EDATE(Inputs!$B$29,280-1))</f>
        <v>54848</v>
      </c>
      <c r="C285" s="35" t="n">
        <f aca="false">IF(A285="","",G284)</f>
        <v>1438597.67488931</v>
      </c>
      <c r="D285" s="35" t="n">
        <f aca="false">IF(A285="","",MIN(Sizing!$B$32,C285*(1+Sizing!$B$24/12)))</f>
        <v>22511.8172418543</v>
      </c>
      <c r="E285" s="35" t="n">
        <f aca="false">IF(A285="","",C285*Sizing!$B$24/12)</f>
        <v>8691.5276191229</v>
      </c>
      <c r="F285" s="35" t="n">
        <f aca="false">IF(A285="","",D285-E285)</f>
        <v>13820.2896227314</v>
      </c>
      <c r="G285" s="35" t="n">
        <f aca="false">IF(A285="","",MAX(0,C285-F285))</f>
        <v>1424777.38526658</v>
      </c>
      <c r="H285" s="36" t="n">
        <f aca="false">IF(A285="","",IF(Inputs!$B$35="5-4-3-2-1 step-down",MAX(0,6-ROUNDUP(A285/12,0))/100,IF(Inputs!$B$35="3-2-1 step-down",MAX(0,4-ROUNDUP(A285/12,0))/100,0)))</f>
        <v>0</v>
      </c>
      <c r="I285" s="35" t="n">
        <f aca="false">IF(A285="","",G285*(1+H285))</f>
        <v>1424777.38526658</v>
      </c>
    </row>
    <row r="286" customFormat="false" ht="15" hidden="false" customHeight="false" outlineLevel="0" collapsed="false">
      <c r="A286" s="29" t="n">
        <f aca="false">IF(281&gt;Sizing!$B$25,"",281)</f>
        <v>281</v>
      </c>
      <c r="B286" s="30" t="n">
        <f aca="false">IF(A286="","",EDATE(Inputs!$B$29,281-1))</f>
        <v>54879</v>
      </c>
      <c r="C286" s="31" t="n">
        <f aca="false">IF(A286="","",G285)</f>
        <v>1424777.38526658</v>
      </c>
      <c r="D286" s="31" t="n">
        <f aca="false">IF(A286="","",MIN(Sizing!$B$32,C286*(1+Sizing!$B$24/12)))</f>
        <v>22511.8172418543</v>
      </c>
      <c r="E286" s="31" t="n">
        <f aca="false">IF(A286="","",C286*Sizing!$B$24/12)</f>
        <v>8608.03003598556</v>
      </c>
      <c r="F286" s="31" t="n">
        <f aca="false">IF(A286="","",D286-E286)</f>
        <v>13903.7872058688</v>
      </c>
      <c r="G286" s="31" t="n">
        <f aca="false">IF(A286="","",MAX(0,C286-F286))</f>
        <v>1410873.59806071</v>
      </c>
      <c r="H286" s="32" t="n">
        <f aca="false">IF(A286="","",IF(Inputs!$B$35="5-4-3-2-1 step-down",MAX(0,6-ROUNDUP(A286/12,0))/100,IF(Inputs!$B$35="3-2-1 step-down",MAX(0,4-ROUNDUP(A286/12,0))/100,0)))</f>
        <v>0</v>
      </c>
      <c r="I286" s="31" t="n">
        <f aca="false">IF(A286="","",G286*(1+H286))</f>
        <v>1410873.59806071</v>
      </c>
    </row>
    <row r="287" customFormat="false" ht="15" hidden="false" customHeight="false" outlineLevel="0" collapsed="false">
      <c r="A287" s="33" t="n">
        <f aca="false">IF(282&gt;Sizing!$B$25,"",282)</f>
        <v>282</v>
      </c>
      <c r="B287" s="34" t="n">
        <f aca="false">IF(A287="","",EDATE(Inputs!$B$29,282-1))</f>
        <v>54909</v>
      </c>
      <c r="C287" s="35" t="n">
        <f aca="false">IF(A287="","",G286)</f>
        <v>1410873.59806071</v>
      </c>
      <c r="D287" s="35" t="n">
        <f aca="false">IF(A287="","",MIN(Sizing!$B$32,C287*(1+Sizing!$B$24/12)))</f>
        <v>22511.8172418543</v>
      </c>
      <c r="E287" s="35" t="n">
        <f aca="false">IF(A287="","",C287*Sizing!$B$24/12)</f>
        <v>8524.02798828344</v>
      </c>
      <c r="F287" s="35" t="n">
        <f aca="false">IF(A287="","",D287-E287)</f>
        <v>13987.7892535709</v>
      </c>
      <c r="G287" s="35" t="n">
        <f aca="false">IF(A287="","",MAX(0,C287-F287))</f>
        <v>1396885.80880714</v>
      </c>
      <c r="H287" s="36" t="n">
        <f aca="false">IF(A287="","",IF(Inputs!$B$35="5-4-3-2-1 step-down",MAX(0,6-ROUNDUP(A287/12,0))/100,IF(Inputs!$B$35="3-2-1 step-down",MAX(0,4-ROUNDUP(A287/12,0))/100,0)))</f>
        <v>0</v>
      </c>
      <c r="I287" s="35" t="n">
        <f aca="false">IF(A287="","",G287*(1+H287))</f>
        <v>1396885.80880714</v>
      </c>
    </row>
    <row r="288" customFormat="false" ht="15" hidden="false" customHeight="false" outlineLevel="0" collapsed="false">
      <c r="A288" s="29" t="n">
        <f aca="false">IF(283&gt;Sizing!$B$25,"",283)</f>
        <v>283</v>
      </c>
      <c r="B288" s="30" t="n">
        <f aca="false">IF(A288="","",EDATE(Inputs!$B$29,283-1))</f>
        <v>54940</v>
      </c>
      <c r="C288" s="31" t="n">
        <f aca="false">IF(A288="","",G287)</f>
        <v>1396885.80880714</v>
      </c>
      <c r="D288" s="31" t="n">
        <f aca="false">IF(A288="","",MIN(Sizing!$B$32,C288*(1+Sizing!$B$24/12)))</f>
        <v>22511.8172418543</v>
      </c>
      <c r="E288" s="31" t="n">
        <f aca="false">IF(A288="","",C288*Sizing!$B$24/12)</f>
        <v>8439.51842820978</v>
      </c>
      <c r="F288" s="31" t="n">
        <f aca="false">IF(A288="","",D288-E288)</f>
        <v>14072.2988136446</v>
      </c>
      <c r="G288" s="31" t="n">
        <f aca="false">IF(A288="","",MAX(0,C288-F288))</f>
        <v>1382813.50999349</v>
      </c>
      <c r="H288" s="32" t="n">
        <f aca="false">IF(A288="","",IF(Inputs!$B$35="5-4-3-2-1 step-down",MAX(0,6-ROUNDUP(A288/12,0))/100,IF(Inputs!$B$35="3-2-1 step-down",MAX(0,4-ROUNDUP(A288/12,0))/100,0)))</f>
        <v>0</v>
      </c>
      <c r="I288" s="31" t="n">
        <f aca="false">IF(A288="","",G288*(1+H288))</f>
        <v>1382813.50999349</v>
      </c>
    </row>
    <row r="289" customFormat="false" ht="15" hidden="false" customHeight="false" outlineLevel="0" collapsed="false">
      <c r="A289" s="33" t="n">
        <f aca="false">IF(284&gt;Sizing!$B$25,"",284)</f>
        <v>284</v>
      </c>
      <c r="B289" s="34" t="n">
        <f aca="false">IF(A289="","",EDATE(Inputs!$B$29,284-1))</f>
        <v>54970</v>
      </c>
      <c r="C289" s="35" t="n">
        <f aca="false">IF(A289="","",G288)</f>
        <v>1382813.50999349</v>
      </c>
      <c r="D289" s="35" t="n">
        <f aca="false">IF(A289="","",MIN(Sizing!$B$32,C289*(1+Sizing!$B$24/12)))</f>
        <v>22511.8172418543</v>
      </c>
      <c r="E289" s="35" t="n">
        <f aca="false">IF(A289="","",C289*Sizing!$B$24/12)</f>
        <v>8354.49828954401</v>
      </c>
      <c r="F289" s="35" t="n">
        <f aca="false">IF(A289="","",D289-E289)</f>
        <v>14157.3189523103</v>
      </c>
      <c r="G289" s="35" t="n">
        <f aca="false">IF(A289="","",MAX(0,C289-F289))</f>
        <v>1368656.19104118</v>
      </c>
      <c r="H289" s="36" t="n">
        <f aca="false">IF(A289="","",IF(Inputs!$B$35="5-4-3-2-1 step-down",MAX(0,6-ROUNDUP(A289/12,0))/100,IF(Inputs!$B$35="3-2-1 step-down",MAX(0,4-ROUNDUP(A289/12,0))/100,0)))</f>
        <v>0</v>
      </c>
      <c r="I289" s="35" t="n">
        <f aca="false">IF(A289="","",G289*(1+H289))</f>
        <v>1368656.19104118</v>
      </c>
    </row>
    <row r="290" customFormat="false" ht="15" hidden="false" customHeight="false" outlineLevel="0" collapsed="false">
      <c r="A290" s="29" t="n">
        <f aca="false">IF(285&gt;Sizing!$B$25,"",285)</f>
        <v>285</v>
      </c>
      <c r="B290" s="30" t="n">
        <f aca="false">IF(A290="","",EDATE(Inputs!$B$29,285-1))</f>
        <v>55001</v>
      </c>
      <c r="C290" s="31" t="n">
        <f aca="false">IF(A290="","",G289)</f>
        <v>1368656.19104118</v>
      </c>
      <c r="D290" s="31" t="n">
        <f aca="false">IF(A290="","",MIN(Sizing!$B$32,C290*(1+Sizing!$B$24/12)))</f>
        <v>22511.8172418543</v>
      </c>
      <c r="E290" s="31" t="n">
        <f aca="false">IF(A290="","",C290*Sizing!$B$24/12)</f>
        <v>8268.96448754047</v>
      </c>
      <c r="F290" s="31" t="n">
        <f aca="false">IF(A290="","",D290-E290)</f>
        <v>14242.8527543139</v>
      </c>
      <c r="G290" s="31" t="n">
        <f aca="false">IF(A290="","",MAX(0,C290-F290))</f>
        <v>1354413.33828687</v>
      </c>
      <c r="H290" s="32" t="n">
        <f aca="false">IF(A290="","",IF(Inputs!$B$35="5-4-3-2-1 step-down",MAX(0,6-ROUNDUP(A290/12,0))/100,IF(Inputs!$B$35="3-2-1 step-down",MAX(0,4-ROUNDUP(A290/12,0))/100,0)))</f>
        <v>0</v>
      </c>
      <c r="I290" s="31" t="n">
        <f aca="false">IF(A290="","",G290*(1+H290))</f>
        <v>1354413.33828687</v>
      </c>
    </row>
    <row r="291" customFormat="false" ht="15" hidden="false" customHeight="false" outlineLevel="0" collapsed="false">
      <c r="A291" s="33" t="n">
        <f aca="false">IF(286&gt;Sizing!$B$25,"",286)</f>
        <v>286</v>
      </c>
      <c r="B291" s="34" t="n">
        <f aca="false">IF(A291="","",EDATE(Inputs!$B$29,286-1))</f>
        <v>55032</v>
      </c>
      <c r="C291" s="35" t="n">
        <f aca="false">IF(A291="","",G290)</f>
        <v>1354413.33828687</v>
      </c>
      <c r="D291" s="35" t="n">
        <f aca="false">IF(A291="","",MIN(Sizing!$B$32,C291*(1+Sizing!$B$24/12)))</f>
        <v>22511.8172418543</v>
      </c>
      <c r="E291" s="35" t="n">
        <f aca="false">IF(A291="","",C291*Sizing!$B$24/12)</f>
        <v>8182.91391881649</v>
      </c>
      <c r="F291" s="35" t="n">
        <f aca="false">IF(A291="","",D291-E291)</f>
        <v>14328.9033230378</v>
      </c>
      <c r="G291" s="35" t="n">
        <f aca="false">IF(A291="","",MAX(0,C291-F291))</f>
        <v>1340084.43496383</v>
      </c>
      <c r="H291" s="36" t="n">
        <f aca="false">IF(A291="","",IF(Inputs!$B$35="5-4-3-2-1 step-down",MAX(0,6-ROUNDUP(A291/12,0))/100,IF(Inputs!$B$35="3-2-1 step-down",MAX(0,4-ROUNDUP(A291/12,0))/100,0)))</f>
        <v>0</v>
      </c>
      <c r="I291" s="35" t="n">
        <f aca="false">IF(A291="","",G291*(1+H291))</f>
        <v>1340084.43496383</v>
      </c>
    </row>
    <row r="292" customFormat="false" ht="15" hidden="false" customHeight="false" outlineLevel="0" collapsed="false">
      <c r="A292" s="29" t="n">
        <f aca="false">IF(287&gt;Sizing!$B$25,"",287)</f>
        <v>287</v>
      </c>
      <c r="B292" s="30" t="n">
        <f aca="false">IF(A292="","",EDATE(Inputs!$B$29,287-1))</f>
        <v>55062</v>
      </c>
      <c r="C292" s="31" t="n">
        <f aca="false">IF(A292="","",G291)</f>
        <v>1340084.43496383</v>
      </c>
      <c r="D292" s="31" t="n">
        <f aca="false">IF(A292="","",MIN(Sizing!$B$32,C292*(1+Sizing!$B$24/12)))</f>
        <v>22511.8172418543</v>
      </c>
      <c r="E292" s="31" t="n">
        <f aca="false">IF(A292="","",C292*Sizing!$B$24/12)</f>
        <v>8096.34346123981</v>
      </c>
      <c r="F292" s="31" t="n">
        <f aca="false">IF(A292="","",D292-E292)</f>
        <v>14415.4737806145</v>
      </c>
      <c r="G292" s="31" t="n">
        <f aca="false">IF(A292="","",MAX(0,C292-F292))</f>
        <v>1325668.96118322</v>
      </c>
      <c r="H292" s="32" t="n">
        <f aca="false">IF(A292="","",IF(Inputs!$B$35="5-4-3-2-1 step-down",MAX(0,6-ROUNDUP(A292/12,0))/100,IF(Inputs!$B$35="3-2-1 step-down",MAX(0,4-ROUNDUP(A292/12,0))/100,0)))</f>
        <v>0</v>
      </c>
      <c r="I292" s="31" t="n">
        <f aca="false">IF(A292="","",G292*(1+H292))</f>
        <v>1325668.96118322</v>
      </c>
    </row>
    <row r="293" customFormat="false" ht="15" hidden="false" customHeight="false" outlineLevel="0" collapsed="false">
      <c r="A293" s="33" t="n">
        <f aca="false">IF(288&gt;Sizing!$B$25,"",288)</f>
        <v>288</v>
      </c>
      <c r="B293" s="34" t="n">
        <f aca="false">IF(A293="","",EDATE(Inputs!$B$29,288-1))</f>
        <v>55093</v>
      </c>
      <c r="C293" s="35" t="n">
        <f aca="false">IF(A293="","",G292)</f>
        <v>1325668.96118322</v>
      </c>
      <c r="D293" s="35" t="n">
        <f aca="false">IF(A293="","",MIN(Sizing!$B$32,C293*(1+Sizing!$B$24/12)))</f>
        <v>22511.8172418543</v>
      </c>
      <c r="E293" s="35" t="n">
        <f aca="false">IF(A293="","",C293*Sizing!$B$24/12)</f>
        <v>8009.24997381526</v>
      </c>
      <c r="F293" s="35" t="n">
        <f aca="false">IF(A293="","",D293-E293)</f>
        <v>14502.5672680391</v>
      </c>
      <c r="G293" s="35" t="n">
        <f aca="false">IF(A293="","",MAX(0,C293-F293))</f>
        <v>1311166.39391518</v>
      </c>
      <c r="H293" s="36" t="n">
        <f aca="false">IF(A293="","",IF(Inputs!$B$35="5-4-3-2-1 step-down",MAX(0,6-ROUNDUP(A293/12,0))/100,IF(Inputs!$B$35="3-2-1 step-down",MAX(0,4-ROUNDUP(A293/12,0))/100,0)))</f>
        <v>0</v>
      </c>
      <c r="I293" s="35" t="n">
        <f aca="false">IF(A293="","",G293*(1+H293))</f>
        <v>1311166.39391518</v>
      </c>
    </row>
    <row r="294" customFormat="false" ht="15" hidden="false" customHeight="false" outlineLevel="0" collapsed="false">
      <c r="A294" s="29" t="n">
        <f aca="false">IF(289&gt;Sizing!$B$25,"",289)</f>
        <v>289</v>
      </c>
      <c r="B294" s="30" t="n">
        <f aca="false">IF(A294="","",EDATE(Inputs!$B$29,289-1))</f>
        <v>55123</v>
      </c>
      <c r="C294" s="31" t="n">
        <f aca="false">IF(A294="","",G293)</f>
        <v>1311166.39391518</v>
      </c>
      <c r="D294" s="31" t="n">
        <f aca="false">IF(A294="","",MIN(Sizing!$B$32,C294*(1+Sizing!$B$24/12)))</f>
        <v>22511.8172418543</v>
      </c>
      <c r="E294" s="31" t="n">
        <f aca="false">IF(A294="","",C294*Sizing!$B$24/12)</f>
        <v>7921.63029657086</v>
      </c>
      <c r="F294" s="31" t="n">
        <f aca="false">IF(A294="","",D294-E294)</f>
        <v>14590.1869452835</v>
      </c>
      <c r="G294" s="31" t="n">
        <f aca="false">IF(A294="","",MAX(0,C294-F294))</f>
        <v>1296576.20696989</v>
      </c>
      <c r="H294" s="32" t="n">
        <f aca="false">IF(A294="","",IF(Inputs!$B$35="5-4-3-2-1 step-down",MAX(0,6-ROUNDUP(A294/12,0))/100,IF(Inputs!$B$35="3-2-1 step-down",MAX(0,4-ROUNDUP(A294/12,0))/100,0)))</f>
        <v>0</v>
      </c>
      <c r="I294" s="31" t="n">
        <f aca="false">IF(A294="","",G294*(1+H294))</f>
        <v>1296576.20696989</v>
      </c>
    </row>
    <row r="295" customFormat="false" ht="15" hidden="false" customHeight="false" outlineLevel="0" collapsed="false">
      <c r="A295" s="33" t="n">
        <f aca="false">IF(290&gt;Sizing!$B$25,"",290)</f>
        <v>290</v>
      </c>
      <c r="B295" s="34" t="n">
        <f aca="false">IF(A295="","",EDATE(Inputs!$B$29,290-1))</f>
        <v>55154</v>
      </c>
      <c r="C295" s="35" t="n">
        <f aca="false">IF(A295="","",G294)</f>
        <v>1296576.20696989</v>
      </c>
      <c r="D295" s="35" t="n">
        <f aca="false">IF(A295="","",MIN(Sizing!$B$32,C295*(1+Sizing!$B$24/12)))</f>
        <v>22511.8172418543</v>
      </c>
      <c r="E295" s="35" t="n">
        <f aca="false">IF(A295="","",C295*Sizing!$B$24/12)</f>
        <v>7833.4812504431</v>
      </c>
      <c r="F295" s="35" t="n">
        <f aca="false">IF(A295="","",D295-E295)</f>
        <v>14678.3359914112</v>
      </c>
      <c r="G295" s="35" t="n">
        <f aca="false">IF(A295="","",MAX(0,C295-F295))</f>
        <v>1281897.87097848</v>
      </c>
      <c r="H295" s="36" t="n">
        <f aca="false">IF(A295="","",IF(Inputs!$B$35="5-4-3-2-1 step-down",MAX(0,6-ROUNDUP(A295/12,0))/100,IF(Inputs!$B$35="3-2-1 step-down",MAX(0,4-ROUNDUP(A295/12,0))/100,0)))</f>
        <v>0</v>
      </c>
      <c r="I295" s="35" t="n">
        <f aca="false">IF(A295="","",G295*(1+H295))</f>
        <v>1281897.87097848</v>
      </c>
    </row>
    <row r="296" customFormat="false" ht="15" hidden="false" customHeight="false" outlineLevel="0" collapsed="false">
      <c r="A296" s="29" t="n">
        <f aca="false">IF(291&gt;Sizing!$B$25,"",291)</f>
        <v>291</v>
      </c>
      <c r="B296" s="30" t="n">
        <f aca="false">IF(A296="","",EDATE(Inputs!$B$29,291-1))</f>
        <v>55185</v>
      </c>
      <c r="C296" s="31" t="n">
        <f aca="false">IF(A296="","",G295)</f>
        <v>1281897.87097848</v>
      </c>
      <c r="D296" s="31" t="n">
        <f aca="false">IF(A296="","",MIN(Sizing!$B$32,C296*(1+Sizing!$B$24/12)))</f>
        <v>22511.8172418543</v>
      </c>
      <c r="E296" s="31" t="n">
        <f aca="false">IF(A296="","",C296*Sizing!$B$24/12)</f>
        <v>7744.79963716166</v>
      </c>
      <c r="F296" s="31" t="n">
        <f aca="false">IF(A296="","",D296-E296)</f>
        <v>14767.0176046927</v>
      </c>
      <c r="G296" s="31" t="n">
        <f aca="false">IF(A296="","",MAX(0,C296-F296))</f>
        <v>1267130.85337379</v>
      </c>
      <c r="H296" s="32" t="n">
        <f aca="false">IF(A296="","",IF(Inputs!$B$35="5-4-3-2-1 step-down",MAX(0,6-ROUNDUP(A296/12,0))/100,IF(Inputs!$B$35="3-2-1 step-down",MAX(0,4-ROUNDUP(A296/12,0))/100,0)))</f>
        <v>0</v>
      </c>
      <c r="I296" s="31" t="n">
        <f aca="false">IF(A296="","",G296*(1+H296))</f>
        <v>1267130.85337379</v>
      </c>
    </row>
    <row r="297" customFormat="false" ht="15" hidden="false" customHeight="false" outlineLevel="0" collapsed="false">
      <c r="A297" s="33" t="n">
        <f aca="false">IF(292&gt;Sizing!$B$25,"",292)</f>
        <v>292</v>
      </c>
      <c r="B297" s="34" t="n">
        <f aca="false">IF(A297="","",EDATE(Inputs!$B$29,292-1))</f>
        <v>55213</v>
      </c>
      <c r="C297" s="35" t="n">
        <f aca="false">IF(A297="","",G296)</f>
        <v>1267130.85337379</v>
      </c>
      <c r="D297" s="35" t="n">
        <f aca="false">IF(A297="","",MIN(Sizing!$B$32,C297*(1+Sizing!$B$24/12)))</f>
        <v>22511.8172418543</v>
      </c>
      <c r="E297" s="35" t="n">
        <f aca="false">IF(A297="","",C297*Sizing!$B$24/12)</f>
        <v>7655.58223913331</v>
      </c>
      <c r="F297" s="35" t="n">
        <f aca="false">IF(A297="","",D297-E297)</f>
        <v>14856.235002721</v>
      </c>
      <c r="G297" s="35" t="n">
        <f aca="false">IF(A297="","",MAX(0,C297-F297))</f>
        <v>1252274.61837107</v>
      </c>
      <c r="H297" s="36" t="n">
        <f aca="false">IF(A297="","",IF(Inputs!$B$35="5-4-3-2-1 step-down",MAX(0,6-ROUNDUP(A297/12,0))/100,IF(Inputs!$B$35="3-2-1 step-down",MAX(0,4-ROUNDUP(A297/12,0))/100,0)))</f>
        <v>0</v>
      </c>
      <c r="I297" s="35" t="n">
        <f aca="false">IF(A297="","",G297*(1+H297))</f>
        <v>1252274.61837107</v>
      </c>
    </row>
    <row r="298" customFormat="false" ht="15" hidden="false" customHeight="false" outlineLevel="0" collapsed="false">
      <c r="A298" s="29" t="n">
        <f aca="false">IF(293&gt;Sizing!$B$25,"",293)</f>
        <v>293</v>
      </c>
      <c r="B298" s="30" t="n">
        <f aca="false">IF(A298="","",EDATE(Inputs!$B$29,293-1))</f>
        <v>55244</v>
      </c>
      <c r="C298" s="31" t="n">
        <f aca="false">IF(A298="","",G297)</f>
        <v>1252274.61837107</v>
      </c>
      <c r="D298" s="31" t="n">
        <f aca="false">IF(A298="","",MIN(Sizing!$B$32,C298*(1+Sizing!$B$24/12)))</f>
        <v>22511.8172418543</v>
      </c>
      <c r="E298" s="31" t="n">
        <f aca="false">IF(A298="","",C298*Sizing!$B$24/12)</f>
        <v>7565.8258193252</v>
      </c>
      <c r="F298" s="31" t="n">
        <f aca="false">IF(A298="","",D298-E298)</f>
        <v>14945.9914225291</v>
      </c>
      <c r="G298" s="31" t="n">
        <f aca="false">IF(A298="","",MAX(0,C298-F298))</f>
        <v>1237328.62694854</v>
      </c>
      <c r="H298" s="32" t="n">
        <f aca="false">IF(A298="","",IF(Inputs!$B$35="5-4-3-2-1 step-down",MAX(0,6-ROUNDUP(A298/12,0))/100,IF(Inputs!$B$35="3-2-1 step-down",MAX(0,4-ROUNDUP(A298/12,0))/100,0)))</f>
        <v>0</v>
      </c>
      <c r="I298" s="31" t="n">
        <f aca="false">IF(A298="","",G298*(1+H298))</f>
        <v>1237328.62694854</v>
      </c>
    </row>
    <row r="299" customFormat="false" ht="15" hidden="false" customHeight="false" outlineLevel="0" collapsed="false">
      <c r="A299" s="33" t="n">
        <f aca="false">IF(294&gt;Sizing!$B$25,"",294)</f>
        <v>294</v>
      </c>
      <c r="B299" s="34" t="n">
        <f aca="false">IF(A299="","",EDATE(Inputs!$B$29,294-1))</f>
        <v>55274</v>
      </c>
      <c r="C299" s="35" t="n">
        <f aca="false">IF(A299="","",G298)</f>
        <v>1237328.62694854</v>
      </c>
      <c r="D299" s="35" t="n">
        <f aca="false">IF(A299="","",MIN(Sizing!$B$32,C299*(1+Sizing!$B$24/12)))</f>
        <v>22511.8172418543</v>
      </c>
      <c r="E299" s="35" t="n">
        <f aca="false">IF(A299="","",C299*Sizing!$B$24/12)</f>
        <v>7475.52712114742</v>
      </c>
      <c r="F299" s="35" t="n">
        <f aca="false">IF(A299="","",D299-E299)</f>
        <v>15036.2901207069</v>
      </c>
      <c r="G299" s="35" t="n">
        <f aca="false">IF(A299="","",MAX(0,C299-F299))</f>
        <v>1222292.33682783</v>
      </c>
      <c r="H299" s="36" t="n">
        <f aca="false">IF(A299="","",IF(Inputs!$B$35="5-4-3-2-1 step-down",MAX(0,6-ROUNDUP(A299/12,0))/100,IF(Inputs!$B$35="3-2-1 step-down",MAX(0,4-ROUNDUP(A299/12,0))/100,0)))</f>
        <v>0</v>
      </c>
      <c r="I299" s="35" t="n">
        <f aca="false">IF(A299="","",G299*(1+H299))</f>
        <v>1222292.33682783</v>
      </c>
    </row>
    <row r="300" customFormat="false" ht="15" hidden="false" customHeight="false" outlineLevel="0" collapsed="false">
      <c r="A300" s="29" t="n">
        <f aca="false">IF(295&gt;Sizing!$B$25,"",295)</f>
        <v>295</v>
      </c>
      <c r="B300" s="30" t="n">
        <f aca="false">IF(A300="","",EDATE(Inputs!$B$29,295-1))</f>
        <v>55305</v>
      </c>
      <c r="C300" s="31" t="n">
        <f aca="false">IF(A300="","",G299)</f>
        <v>1222292.33682783</v>
      </c>
      <c r="D300" s="31" t="n">
        <f aca="false">IF(A300="","",MIN(Sizing!$B$32,C300*(1+Sizing!$B$24/12)))</f>
        <v>22511.8172418543</v>
      </c>
      <c r="E300" s="31" t="n">
        <f aca="false">IF(A300="","",C300*Sizing!$B$24/12)</f>
        <v>7384.68286833482</v>
      </c>
      <c r="F300" s="31" t="n">
        <f aca="false">IF(A300="","",D300-E300)</f>
        <v>15127.1343735195</v>
      </c>
      <c r="G300" s="31" t="n">
        <f aca="false">IF(A300="","",MAX(0,C300-F300))</f>
        <v>1207165.20245431</v>
      </c>
      <c r="H300" s="32" t="n">
        <f aca="false">IF(A300="","",IF(Inputs!$B$35="5-4-3-2-1 step-down",MAX(0,6-ROUNDUP(A300/12,0))/100,IF(Inputs!$B$35="3-2-1 step-down",MAX(0,4-ROUNDUP(A300/12,0))/100,0)))</f>
        <v>0</v>
      </c>
      <c r="I300" s="31" t="n">
        <f aca="false">IF(A300="","",G300*(1+H300))</f>
        <v>1207165.20245431</v>
      </c>
    </row>
    <row r="301" customFormat="false" ht="15" hidden="false" customHeight="false" outlineLevel="0" collapsed="false">
      <c r="A301" s="33" t="n">
        <f aca="false">IF(296&gt;Sizing!$B$25,"",296)</f>
        <v>296</v>
      </c>
      <c r="B301" s="34" t="n">
        <f aca="false">IF(A301="","",EDATE(Inputs!$B$29,296-1))</f>
        <v>55335</v>
      </c>
      <c r="C301" s="35" t="n">
        <f aca="false">IF(A301="","",G300)</f>
        <v>1207165.20245431</v>
      </c>
      <c r="D301" s="35" t="n">
        <f aca="false">IF(A301="","",MIN(Sizing!$B$32,C301*(1+Sizing!$B$24/12)))</f>
        <v>22511.8172418543</v>
      </c>
      <c r="E301" s="35" t="n">
        <f aca="false">IF(A301="","",C301*Sizing!$B$24/12)</f>
        <v>7293.28976482814</v>
      </c>
      <c r="F301" s="35" t="n">
        <f aca="false">IF(A301="","",D301-E301)</f>
        <v>15218.5274770262</v>
      </c>
      <c r="G301" s="35" t="n">
        <f aca="false">IF(A301="","",MAX(0,C301-F301))</f>
        <v>1191946.67497729</v>
      </c>
      <c r="H301" s="36" t="n">
        <f aca="false">IF(A301="","",IF(Inputs!$B$35="5-4-3-2-1 step-down",MAX(0,6-ROUNDUP(A301/12,0))/100,IF(Inputs!$B$35="3-2-1 step-down",MAX(0,4-ROUNDUP(A301/12,0))/100,0)))</f>
        <v>0</v>
      </c>
      <c r="I301" s="35" t="n">
        <f aca="false">IF(A301="","",G301*(1+H301))</f>
        <v>1191946.67497729</v>
      </c>
    </row>
    <row r="302" customFormat="false" ht="15" hidden="false" customHeight="false" outlineLevel="0" collapsed="false">
      <c r="A302" s="29" t="n">
        <f aca="false">IF(297&gt;Sizing!$B$25,"",297)</f>
        <v>297</v>
      </c>
      <c r="B302" s="30" t="n">
        <f aca="false">IF(A302="","",EDATE(Inputs!$B$29,297-1))</f>
        <v>55366</v>
      </c>
      <c r="C302" s="31" t="n">
        <f aca="false">IF(A302="","",G301)</f>
        <v>1191946.67497729</v>
      </c>
      <c r="D302" s="31" t="n">
        <f aca="false">IF(A302="","",MIN(Sizing!$B$32,C302*(1+Sizing!$B$24/12)))</f>
        <v>22511.8172418543</v>
      </c>
      <c r="E302" s="31" t="n">
        <f aca="false">IF(A302="","",C302*Sizing!$B$24/12)</f>
        <v>7201.34449465444</v>
      </c>
      <c r="F302" s="31" t="n">
        <f aca="false">IF(A302="","",D302-E302)</f>
        <v>15310.4727471999</v>
      </c>
      <c r="G302" s="31" t="n">
        <f aca="false">IF(A302="","",MAX(0,C302-F302))</f>
        <v>1176636.20223009</v>
      </c>
      <c r="H302" s="32" t="n">
        <f aca="false">IF(A302="","",IF(Inputs!$B$35="5-4-3-2-1 step-down",MAX(0,6-ROUNDUP(A302/12,0))/100,IF(Inputs!$B$35="3-2-1 step-down",MAX(0,4-ROUNDUP(A302/12,0))/100,0)))</f>
        <v>0</v>
      </c>
      <c r="I302" s="31" t="n">
        <f aca="false">IF(A302="","",G302*(1+H302))</f>
        <v>1176636.20223009</v>
      </c>
    </row>
    <row r="303" customFormat="false" ht="15" hidden="false" customHeight="false" outlineLevel="0" collapsed="false">
      <c r="A303" s="33" t="n">
        <f aca="false">IF(298&gt;Sizing!$B$25,"",298)</f>
        <v>298</v>
      </c>
      <c r="B303" s="34" t="n">
        <f aca="false">IF(A303="","",EDATE(Inputs!$B$29,298-1))</f>
        <v>55397</v>
      </c>
      <c r="C303" s="35" t="n">
        <f aca="false">IF(A303="","",G302)</f>
        <v>1176636.20223009</v>
      </c>
      <c r="D303" s="35" t="n">
        <f aca="false">IF(A303="","",MIN(Sizing!$B$32,C303*(1+Sizing!$B$24/12)))</f>
        <v>22511.8172418543</v>
      </c>
      <c r="E303" s="35" t="n">
        <f aca="false">IF(A303="","",C303*Sizing!$B$24/12)</f>
        <v>7108.84372180677</v>
      </c>
      <c r="F303" s="35" t="n">
        <f aca="false">IF(A303="","",D303-E303)</f>
        <v>15402.9735200476</v>
      </c>
      <c r="G303" s="35" t="n">
        <f aca="false">IF(A303="","",MAX(0,C303-F303))</f>
        <v>1161233.22871004</v>
      </c>
      <c r="H303" s="36" t="n">
        <f aca="false">IF(A303="","",IF(Inputs!$B$35="5-4-3-2-1 step-down",MAX(0,6-ROUNDUP(A303/12,0))/100,IF(Inputs!$B$35="3-2-1 step-down",MAX(0,4-ROUNDUP(A303/12,0))/100,0)))</f>
        <v>0</v>
      </c>
      <c r="I303" s="35" t="n">
        <f aca="false">IF(A303="","",G303*(1+H303))</f>
        <v>1161233.22871004</v>
      </c>
    </row>
    <row r="304" customFormat="false" ht="15" hidden="false" customHeight="false" outlineLevel="0" collapsed="false">
      <c r="A304" s="29" t="n">
        <f aca="false">IF(299&gt;Sizing!$B$25,"",299)</f>
        <v>299</v>
      </c>
      <c r="B304" s="30" t="n">
        <f aca="false">IF(A304="","",EDATE(Inputs!$B$29,299-1))</f>
        <v>55427</v>
      </c>
      <c r="C304" s="31" t="n">
        <f aca="false">IF(A304="","",G303)</f>
        <v>1161233.22871004</v>
      </c>
      <c r="D304" s="31" t="n">
        <f aca="false">IF(A304="","",MIN(Sizing!$B$32,C304*(1+Sizing!$B$24/12)))</f>
        <v>22511.8172418543</v>
      </c>
      <c r="E304" s="31" t="n">
        <f aca="false">IF(A304="","",C304*Sizing!$B$24/12)</f>
        <v>7015.78409012315</v>
      </c>
      <c r="F304" s="31" t="n">
        <f aca="false">IF(A304="","",D304-E304)</f>
        <v>15496.0331517312</v>
      </c>
      <c r="G304" s="31" t="n">
        <f aca="false">IF(A304="","",MAX(0,C304-F304))</f>
        <v>1145737.19555831</v>
      </c>
      <c r="H304" s="32" t="n">
        <f aca="false">IF(A304="","",IF(Inputs!$B$35="5-4-3-2-1 step-down",MAX(0,6-ROUNDUP(A304/12,0))/100,IF(Inputs!$B$35="3-2-1 step-down",MAX(0,4-ROUNDUP(A304/12,0))/100,0)))</f>
        <v>0</v>
      </c>
      <c r="I304" s="31" t="n">
        <f aca="false">IF(A304="","",G304*(1+H304))</f>
        <v>1145737.19555831</v>
      </c>
    </row>
    <row r="305" customFormat="false" ht="15" hidden="false" customHeight="false" outlineLevel="0" collapsed="false">
      <c r="A305" s="33" t="n">
        <f aca="false">IF(300&gt;Sizing!$B$25,"",300)</f>
        <v>300</v>
      </c>
      <c r="B305" s="34" t="n">
        <f aca="false">IF(A305="","",EDATE(Inputs!$B$29,300-1))</f>
        <v>55458</v>
      </c>
      <c r="C305" s="35" t="n">
        <f aca="false">IF(A305="","",G304)</f>
        <v>1145737.19555831</v>
      </c>
      <c r="D305" s="35" t="n">
        <f aca="false">IF(A305="","",MIN(Sizing!$B$32,C305*(1+Sizing!$B$24/12)))</f>
        <v>22511.8172418543</v>
      </c>
      <c r="E305" s="35" t="n">
        <f aca="false">IF(A305="","",C305*Sizing!$B$24/12)</f>
        <v>6922.16222316477</v>
      </c>
      <c r="F305" s="35" t="n">
        <f aca="false">IF(A305="","",D305-E305)</f>
        <v>15589.6550186896</v>
      </c>
      <c r="G305" s="35" t="n">
        <f aca="false">IF(A305="","",MAX(0,C305-F305))</f>
        <v>1130147.54053962</v>
      </c>
      <c r="H305" s="36" t="n">
        <f aca="false">IF(A305="","",IF(Inputs!$B$35="5-4-3-2-1 step-down",MAX(0,6-ROUNDUP(A305/12,0))/100,IF(Inputs!$B$35="3-2-1 step-down",MAX(0,4-ROUNDUP(A305/12,0))/100,0)))</f>
        <v>0</v>
      </c>
      <c r="I305" s="35" t="n">
        <f aca="false">IF(A305="","",G305*(1+H305))</f>
        <v>1130147.54053962</v>
      </c>
    </row>
    <row r="306" customFormat="false" ht="15" hidden="false" customHeight="false" outlineLevel="0" collapsed="false">
      <c r="A306" s="29" t="n">
        <f aca="false">IF(301&gt;Sizing!$B$25,"",301)</f>
        <v>301</v>
      </c>
      <c r="B306" s="30" t="n">
        <f aca="false">IF(A306="","",EDATE(Inputs!$B$29,301-1))</f>
        <v>55488</v>
      </c>
      <c r="C306" s="31" t="n">
        <f aca="false">IF(A306="","",G305)</f>
        <v>1130147.54053962</v>
      </c>
      <c r="D306" s="31" t="n">
        <f aca="false">IF(A306="","",MIN(Sizing!$B$32,C306*(1+Sizing!$B$24/12)))</f>
        <v>22511.8172418543</v>
      </c>
      <c r="E306" s="31" t="n">
        <f aca="false">IF(A306="","",C306*Sizing!$B$24/12)</f>
        <v>6827.97472409352</v>
      </c>
      <c r="F306" s="31" t="n">
        <f aca="false">IF(A306="","",D306-E306)</f>
        <v>15683.8425177608</v>
      </c>
      <c r="G306" s="31" t="n">
        <f aca="false">IF(A306="","",MAX(0,C306-F306))</f>
        <v>1114463.69802186</v>
      </c>
      <c r="H306" s="32" t="n">
        <f aca="false">IF(A306="","",IF(Inputs!$B$35="5-4-3-2-1 step-down",MAX(0,6-ROUNDUP(A306/12,0))/100,IF(Inputs!$B$35="3-2-1 step-down",MAX(0,4-ROUNDUP(A306/12,0))/100,0)))</f>
        <v>0</v>
      </c>
      <c r="I306" s="31" t="n">
        <f aca="false">IF(A306="","",G306*(1+H306))</f>
        <v>1114463.69802186</v>
      </c>
    </row>
    <row r="307" customFormat="false" ht="15" hidden="false" customHeight="false" outlineLevel="0" collapsed="false">
      <c r="A307" s="33" t="n">
        <f aca="false">IF(302&gt;Sizing!$B$25,"",302)</f>
        <v>302</v>
      </c>
      <c r="B307" s="34" t="n">
        <f aca="false">IF(A307="","",EDATE(Inputs!$B$29,302-1))</f>
        <v>55519</v>
      </c>
      <c r="C307" s="35" t="n">
        <f aca="false">IF(A307="","",G306)</f>
        <v>1114463.69802186</v>
      </c>
      <c r="D307" s="35" t="n">
        <f aca="false">IF(A307="","",MIN(Sizing!$B$32,C307*(1+Sizing!$B$24/12)))</f>
        <v>22511.8172418543</v>
      </c>
      <c r="E307" s="35" t="n">
        <f aca="false">IF(A307="","",C307*Sizing!$B$24/12)</f>
        <v>6733.21817554872</v>
      </c>
      <c r="F307" s="35" t="n">
        <f aca="false">IF(A307="","",D307-E307)</f>
        <v>15778.5990663056</v>
      </c>
      <c r="G307" s="35" t="n">
        <f aca="false">IF(A307="","",MAX(0,C307-F307))</f>
        <v>1098685.09895555</v>
      </c>
      <c r="H307" s="36" t="n">
        <f aca="false">IF(A307="","",IF(Inputs!$B$35="5-4-3-2-1 step-down",MAX(0,6-ROUNDUP(A307/12,0))/100,IF(Inputs!$B$35="3-2-1 step-down",MAX(0,4-ROUNDUP(A307/12,0))/100,0)))</f>
        <v>0</v>
      </c>
      <c r="I307" s="35" t="n">
        <f aca="false">IF(A307="","",G307*(1+H307))</f>
        <v>1098685.09895555</v>
      </c>
    </row>
    <row r="308" customFormat="false" ht="15" hidden="false" customHeight="false" outlineLevel="0" collapsed="false">
      <c r="A308" s="29" t="n">
        <f aca="false">IF(303&gt;Sizing!$B$25,"",303)</f>
        <v>303</v>
      </c>
      <c r="B308" s="30" t="n">
        <f aca="false">IF(A308="","",EDATE(Inputs!$B$29,303-1))</f>
        <v>55550</v>
      </c>
      <c r="C308" s="31" t="n">
        <f aca="false">IF(A308="","",G307)</f>
        <v>1098685.09895555</v>
      </c>
      <c r="D308" s="31" t="n">
        <f aca="false">IF(A308="","",MIN(Sizing!$B$32,C308*(1+Sizing!$B$24/12)))</f>
        <v>22511.8172418543</v>
      </c>
      <c r="E308" s="31" t="n">
        <f aca="false">IF(A308="","",C308*Sizing!$B$24/12)</f>
        <v>6637.88913952312</v>
      </c>
      <c r="F308" s="31" t="n">
        <f aca="false">IF(A308="","",D308-E308)</f>
        <v>15873.9281023312</v>
      </c>
      <c r="G308" s="31" t="n">
        <f aca="false">IF(A308="","",MAX(0,C308-F308))</f>
        <v>1082811.17085322</v>
      </c>
      <c r="H308" s="32" t="n">
        <f aca="false">IF(A308="","",IF(Inputs!$B$35="5-4-3-2-1 step-down",MAX(0,6-ROUNDUP(A308/12,0))/100,IF(Inputs!$B$35="3-2-1 step-down",MAX(0,4-ROUNDUP(A308/12,0))/100,0)))</f>
        <v>0</v>
      </c>
      <c r="I308" s="31" t="n">
        <f aca="false">IF(A308="","",G308*(1+H308))</f>
        <v>1082811.17085322</v>
      </c>
    </row>
    <row r="309" customFormat="false" ht="15" hidden="false" customHeight="false" outlineLevel="0" collapsed="false">
      <c r="A309" s="33" t="n">
        <f aca="false">IF(304&gt;Sizing!$B$25,"",304)</f>
        <v>304</v>
      </c>
      <c r="B309" s="34" t="n">
        <f aca="false">IF(A309="","",EDATE(Inputs!$B$29,304-1))</f>
        <v>55579</v>
      </c>
      <c r="C309" s="35" t="n">
        <f aca="false">IF(A309="","",G308)</f>
        <v>1082811.17085322</v>
      </c>
      <c r="D309" s="35" t="n">
        <f aca="false">IF(A309="","",MIN(Sizing!$B$32,C309*(1+Sizing!$B$24/12)))</f>
        <v>22511.8172418543</v>
      </c>
      <c r="E309" s="35" t="n">
        <f aca="false">IF(A309="","",C309*Sizing!$B$24/12)</f>
        <v>6541.9841572382</v>
      </c>
      <c r="F309" s="35" t="n">
        <f aca="false">IF(A309="","",D309-E309)</f>
        <v>15969.8330846161</v>
      </c>
      <c r="G309" s="35" t="n">
        <f aca="false">IF(A309="","",MAX(0,C309-F309))</f>
        <v>1066841.3377686</v>
      </c>
      <c r="H309" s="36" t="n">
        <f aca="false">IF(A309="","",IF(Inputs!$B$35="5-4-3-2-1 step-down",MAX(0,6-ROUNDUP(A309/12,0))/100,IF(Inputs!$B$35="3-2-1 step-down",MAX(0,4-ROUNDUP(A309/12,0))/100,0)))</f>
        <v>0</v>
      </c>
      <c r="I309" s="35" t="n">
        <f aca="false">IF(A309="","",G309*(1+H309))</f>
        <v>1066841.3377686</v>
      </c>
    </row>
    <row r="310" customFormat="false" ht="15" hidden="false" customHeight="false" outlineLevel="0" collapsed="false">
      <c r="A310" s="29" t="n">
        <f aca="false">IF(305&gt;Sizing!$B$25,"",305)</f>
        <v>305</v>
      </c>
      <c r="B310" s="30" t="n">
        <f aca="false">IF(A310="","",EDATE(Inputs!$B$29,305-1))</f>
        <v>55610</v>
      </c>
      <c r="C310" s="31" t="n">
        <f aca="false">IF(A310="","",G309)</f>
        <v>1066841.3377686</v>
      </c>
      <c r="D310" s="31" t="n">
        <f aca="false">IF(A310="","",MIN(Sizing!$B$32,C310*(1+Sizing!$B$24/12)))</f>
        <v>22511.8172418543</v>
      </c>
      <c r="E310" s="31" t="n">
        <f aca="false">IF(A310="","",C310*Sizing!$B$24/12)</f>
        <v>6445.49974901865</v>
      </c>
      <c r="F310" s="31" t="n">
        <f aca="false">IF(A310="","",D310-E310)</f>
        <v>16066.3174928357</v>
      </c>
      <c r="G310" s="31" t="n">
        <f aca="false">IF(A310="","",MAX(0,C310-F310))</f>
        <v>1050775.02027577</v>
      </c>
      <c r="H310" s="32" t="n">
        <f aca="false">IF(A310="","",IF(Inputs!$B$35="5-4-3-2-1 step-down",MAX(0,6-ROUNDUP(A310/12,0))/100,IF(Inputs!$B$35="3-2-1 step-down",MAX(0,4-ROUNDUP(A310/12,0))/100,0)))</f>
        <v>0</v>
      </c>
      <c r="I310" s="31" t="n">
        <f aca="false">IF(A310="","",G310*(1+H310))</f>
        <v>1050775.02027577</v>
      </c>
    </row>
    <row r="311" customFormat="false" ht="15" hidden="false" customHeight="false" outlineLevel="0" collapsed="false">
      <c r="A311" s="33" t="n">
        <f aca="false">IF(306&gt;Sizing!$B$25,"",306)</f>
        <v>306</v>
      </c>
      <c r="B311" s="34" t="n">
        <f aca="false">IF(A311="","",EDATE(Inputs!$B$29,306-1))</f>
        <v>55640</v>
      </c>
      <c r="C311" s="35" t="n">
        <f aca="false">IF(A311="","",G310)</f>
        <v>1050775.02027577</v>
      </c>
      <c r="D311" s="35" t="n">
        <f aca="false">IF(A311="","",MIN(Sizing!$B$32,C311*(1+Sizing!$B$24/12)))</f>
        <v>22511.8172418543</v>
      </c>
      <c r="E311" s="35" t="n">
        <f aca="false">IF(A311="","",C311*Sizing!$B$24/12)</f>
        <v>6348.4324141661</v>
      </c>
      <c r="F311" s="35" t="n">
        <f aca="false">IF(A311="","",D311-E311)</f>
        <v>16163.3848276882</v>
      </c>
      <c r="G311" s="35" t="n">
        <f aca="false">IF(A311="","",MAX(0,C311-F311))</f>
        <v>1034611.63544808</v>
      </c>
      <c r="H311" s="36" t="n">
        <f aca="false">IF(A311="","",IF(Inputs!$B$35="5-4-3-2-1 step-down",MAX(0,6-ROUNDUP(A311/12,0))/100,IF(Inputs!$B$35="3-2-1 step-down",MAX(0,4-ROUNDUP(A311/12,0))/100,0)))</f>
        <v>0</v>
      </c>
      <c r="I311" s="35" t="n">
        <f aca="false">IF(A311="","",G311*(1+H311))</f>
        <v>1034611.63544808</v>
      </c>
    </row>
    <row r="312" customFormat="false" ht="15" hidden="false" customHeight="false" outlineLevel="0" collapsed="false">
      <c r="A312" s="29" t="n">
        <f aca="false">IF(307&gt;Sizing!$B$25,"",307)</f>
        <v>307</v>
      </c>
      <c r="B312" s="30" t="n">
        <f aca="false">IF(A312="","",EDATE(Inputs!$B$29,307-1))</f>
        <v>55671</v>
      </c>
      <c r="C312" s="31" t="n">
        <f aca="false">IF(A312="","",G311)</f>
        <v>1034611.63544808</v>
      </c>
      <c r="D312" s="31" t="n">
        <f aca="false">IF(A312="","",MIN(Sizing!$B$32,C312*(1+Sizing!$B$24/12)))</f>
        <v>22511.8172418543</v>
      </c>
      <c r="E312" s="31" t="n">
        <f aca="false">IF(A312="","",C312*Sizing!$B$24/12)</f>
        <v>6250.77863083215</v>
      </c>
      <c r="F312" s="31" t="n">
        <f aca="false">IF(A312="","",D312-E312)</f>
        <v>16261.0386110222</v>
      </c>
      <c r="G312" s="31" t="n">
        <f aca="false">IF(A312="","",MAX(0,C312-F312))</f>
        <v>1018350.59683706</v>
      </c>
      <c r="H312" s="32" t="n">
        <f aca="false">IF(A312="","",IF(Inputs!$B$35="5-4-3-2-1 step-down",MAX(0,6-ROUNDUP(A312/12,0))/100,IF(Inputs!$B$35="3-2-1 step-down",MAX(0,4-ROUNDUP(A312/12,0))/100,0)))</f>
        <v>0</v>
      </c>
      <c r="I312" s="31" t="n">
        <f aca="false">IF(A312="","",G312*(1+H312))</f>
        <v>1018350.59683706</v>
      </c>
    </row>
    <row r="313" customFormat="false" ht="15" hidden="false" customHeight="false" outlineLevel="0" collapsed="false">
      <c r="A313" s="33" t="n">
        <f aca="false">IF(308&gt;Sizing!$B$25,"",308)</f>
        <v>308</v>
      </c>
      <c r="B313" s="34" t="n">
        <f aca="false">IF(A313="","",EDATE(Inputs!$B$29,308-1))</f>
        <v>55701</v>
      </c>
      <c r="C313" s="35" t="n">
        <f aca="false">IF(A313="","",G312)</f>
        <v>1018350.59683706</v>
      </c>
      <c r="D313" s="35" t="n">
        <f aca="false">IF(A313="","",MIN(Sizing!$B$32,C313*(1+Sizing!$B$24/12)))</f>
        <v>22511.8172418543</v>
      </c>
      <c r="E313" s="35" t="n">
        <f aca="false">IF(A313="","",C313*Sizing!$B$24/12)</f>
        <v>6152.53485589056</v>
      </c>
      <c r="F313" s="35" t="n">
        <f aca="false">IF(A313="","",D313-E313)</f>
        <v>16359.2823859638</v>
      </c>
      <c r="G313" s="35" t="n">
        <f aca="false">IF(A313="","",MAX(0,C313-F313))</f>
        <v>1001991.31445109</v>
      </c>
      <c r="H313" s="36" t="n">
        <f aca="false">IF(A313="","",IF(Inputs!$B$35="5-4-3-2-1 step-down",MAX(0,6-ROUNDUP(A313/12,0))/100,IF(Inputs!$B$35="3-2-1 step-down",MAX(0,4-ROUNDUP(A313/12,0))/100,0)))</f>
        <v>0</v>
      </c>
      <c r="I313" s="35" t="n">
        <f aca="false">IF(A313="","",G313*(1+H313))</f>
        <v>1001991.31445109</v>
      </c>
    </row>
    <row r="314" customFormat="false" ht="15" hidden="false" customHeight="false" outlineLevel="0" collapsed="false">
      <c r="A314" s="29" t="n">
        <f aca="false">IF(309&gt;Sizing!$B$25,"",309)</f>
        <v>309</v>
      </c>
      <c r="B314" s="30" t="n">
        <f aca="false">IF(A314="","",EDATE(Inputs!$B$29,309-1))</f>
        <v>55732</v>
      </c>
      <c r="C314" s="31" t="n">
        <f aca="false">IF(A314="","",G313)</f>
        <v>1001991.31445109</v>
      </c>
      <c r="D314" s="31" t="n">
        <f aca="false">IF(A314="","",MIN(Sizing!$B$32,C314*(1+Sizing!$B$24/12)))</f>
        <v>22511.8172418543</v>
      </c>
      <c r="E314" s="31" t="n">
        <f aca="false">IF(A314="","",C314*Sizing!$B$24/12)</f>
        <v>6053.69752480869</v>
      </c>
      <c r="F314" s="31" t="n">
        <f aca="false">IF(A314="","",D314-E314)</f>
        <v>16458.1197170456</v>
      </c>
      <c r="G314" s="31" t="n">
        <f aca="false">IF(A314="","",MAX(0,C314-F314))</f>
        <v>985533.194734048</v>
      </c>
      <c r="H314" s="32" t="n">
        <f aca="false">IF(A314="","",IF(Inputs!$B$35="5-4-3-2-1 step-down",MAX(0,6-ROUNDUP(A314/12,0))/100,IF(Inputs!$B$35="3-2-1 step-down",MAX(0,4-ROUNDUP(A314/12,0))/100,0)))</f>
        <v>0</v>
      </c>
      <c r="I314" s="31" t="n">
        <f aca="false">IF(A314="","",G314*(1+H314))</f>
        <v>985533.194734048</v>
      </c>
    </row>
    <row r="315" customFormat="false" ht="15" hidden="false" customHeight="false" outlineLevel="0" collapsed="false">
      <c r="A315" s="33" t="n">
        <f aca="false">IF(310&gt;Sizing!$B$25,"",310)</f>
        <v>310</v>
      </c>
      <c r="B315" s="34" t="n">
        <f aca="false">IF(A315="","",EDATE(Inputs!$B$29,310-1))</f>
        <v>55763</v>
      </c>
      <c r="C315" s="35" t="n">
        <f aca="false">IF(A315="","",G314)</f>
        <v>985533.194734048</v>
      </c>
      <c r="D315" s="35" t="n">
        <f aca="false">IF(A315="","",MIN(Sizing!$B$32,C315*(1+Sizing!$B$24/12)))</f>
        <v>22511.8172418543</v>
      </c>
      <c r="E315" s="35" t="n">
        <f aca="false">IF(A315="","",C315*Sizing!$B$24/12)</f>
        <v>5954.26305151821</v>
      </c>
      <c r="F315" s="35" t="n">
        <f aca="false">IF(A315="","",D315-E315)</f>
        <v>16557.5541903361</v>
      </c>
      <c r="G315" s="35" t="n">
        <f aca="false">IF(A315="","",MAX(0,C315-F315))</f>
        <v>968975.640543712</v>
      </c>
      <c r="H315" s="36" t="n">
        <f aca="false">IF(A315="","",IF(Inputs!$B$35="5-4-3-2-1 step-down",MAX(0,6-ROUNDUP(A315/12,0))/100,IF(Inputs!$B$35="3-2-1 step-down",MAX(0,4-ROUNDUP(A315/12,0))/100,0)))</f>
        <v>0</v>
      </c>
      <c r="I315" s="35" t="n">
        <f aca="false">IF(A315="","",G315*(1+H315))</f>
        <v>968975.640543712</v>
      </c>
    </row>
    <row r="316" customFormat="false" ht="15" hidden="false" customHeight="false" outlineLevel="0" collapsed="false">
      <c r="A316" s="29" t="n">
        <f aca="false">IF(311&gt;Sizing!$B$25,"",311)</f>
        <v>311</v>
      </c>
      <c r="B316" s="30" t="n">
        <f aca="false">IF(A316="","",EDATE(Inputs!$B$29,311-1))</f>
        <v>55793</v>
      </c>
      <c r="C316" s="31" t="n">
        <f aca="false">IF(A316="","",G315)</f>
        <v>968975.640543712</v>
      </c>
      <c r="D316" s="31" t="n">
        <f aca="false">IF(A316="","",MIN(Sizing!$B$32,C316*(1+Sizing!$B$24/12)))</f>
        <v>22511.8172418543</v>
      </c>
      <c r="E316" s="31" t="n">
        <f aca="false">IF(A316="","",C316*Sizing!$B$24/12)</f>
        <v>5854.22782828493</v>
      </c>
      <c r="F316" s="31" t="n">
        <f aca="false">IF(A316="","",D316-E316)</f>
        <v>16657.5894135694</v>
      </c>
      <c r="G316" s="31" t="n">
        <f aca="false">IF(A316="","",MAX(0,C316-F316))</f>
        <v>952318.051130143</v>
      </c>
      <c r="H316" s="32" t="n">
        <f aca="false">IF(A316="","",IF(Inputs!$B$35="5-4-3-2-1 step-down",MAX(0,6-ROUNDUP(A316/12,0))/100,IF(Inputs!$B$35="3-2-1 step-down",MAX(0,4-ROUNDUP(A316/12,0))/100,0)))</f>
        <v>0</v>
      </c>
      <c r="I316" s="31" t="n">
        <f aca="false">IF(A316="","",G316*(1+H316))</f>
        <v>952318.051130143</v>
      </c>
    </row>
    <row r="317" customFormat="false" ht="15" hidden="false" customHeight="false" outlineLevel="0" collapsed="false">
      <c r="A317" s="33" t="n">
        <f aca="false">IF(312&gt;Sizing!$B$25,"",312)</f>
        <v>312</v>
      </c>
      <c r="B317" s="34" t="n">
        <f aca="false">IF(A317="","",EDATE(Inputs!$B$29,312-1))</f>
        <v>55824</v>
      </c>
      <c r="C317" s="35" t="n">
        <f aca="false">IF(A317="","",G316)</f>
        <v>952318.051130143</v>
      </c>
      <c r="D317" s="35" t="n">
        <f aca="false">IF(A317="","",MIN(Sizing!$B$32,C317*(1+Sizing!$B$24/12)))</f>
        <v>22511.8172418543</v>
      </c>
      <c r="E317" s="35" t="n">
        <f aca="false">IF(A317="","",C317*Sizing!$B$24/12)</f>
        <v>5753.58822557795</v>
      </c>
      <c r="F317" s="35" t="n">
        <f aca="false">IF(A317="","",D317-E317)</f>
        <v>16758.2290162764</v>
      </c>
      <c r="G317" s="35" t="n">
        <f aca="false">IF(A317="","",MAX(0,C317-F317))</f>
        <v>935559.822113867</v>
      </c>
      <c r="H317" s="36" t="n">
        <f aca="false">IF(A317="","",IF(Inputs!$B$35="5-4-3-2-1 step-down",MAX(0,6-ROUNDUP(A317/12,0))/100,IF(Inputs!$B$35="3-2-1 step-down",MAX(0,4-ROUNDUP(A317/12,0))/100,0)))</f>
        <v>0</v>
      </c>
      <c r="I317" s="35" t="n">
        <f aca="false">IF(A317="","",G317*(1+H317))</f>
        <v>935559.822113867</v>
      </c>
    </row>
    <row r="318" customFormat="false" ht="15" hidden="false" customHeight="false" outlineLevel="0" collapsed="false">
      <c r="A318" s="29" t="n">
        <f aca="false">IF(313&gt;Sizing!$B$25,"",313)</f>
        <v>313</v>
      </c>
      <c r="B318" s="30" t="n">
        <f aca="false">IF(A318="","",EDATE(Inputs!$B$29,313-1))</f>
        <v>55854</v>
      </c>
      <c r="C318" s="31" t="n">
        <f aca="false">IF(A318="","",G317)</f>
        <v>935559.822113867</v>
      </c>
      <c r="D318" s="31" t="n">
        <f aca="false">IF(A318="","",MIN(Sizing!$B$32,C318*(1+Sizing!$B$24/12)))</f>
        <v>22511.8172418543</v>
      </c>
      <c r="E318" s="31" t="n">
        <f aca="false">IF(A318="","",C318*Sizing!$B$24/12)</f>
        <v>5652.34059193794</v>
      </c>
      <c r="F318" s="31" t="n">
        <f aca="false">IF(A318="","",D318-E318)</f>
        <v>16859.4766499164</v>
      </c>
      <c r="G318" s="31" t="n">
        <f aca="false">IF(A318="","",MAX(0,C318-F318))</f>
        <v>918700.34546395</v>
      </c>
      <c r="H318" s="32" t="n">
        <f aca="false">IF(A318="","",IF(Inputs!$B$35="5-4-3-2-1 step-down",MAX(0,6-ROUNDUP(A318/12,0))/100,IF(Inputs!$B$35="3-2-1 step-down",MAX(0,4-ROUNDUP(A318/12,0))/100,0)))</f>
        <v>0</v>
      </c>
      <c r="I318" s="31" t="n">
        <f aca="false">IF(A318="","",G318*(1+H318))</f>
        <v>918700.34546395</v>
      </c>
    </row>
    <row r="319" customFormat="false" ht="15" hidden="false" customHeight="false" outlineLevel="0" collapsed="false">
      <c r="A319" s="33" t="n">
        <f aca="false">IF(314&gt;Sizing!$B$25,"",314)</f>
        <v>314</v>
      </c>
      <c r="B319" s="34" t="n">
        <f aca="false">IF(A319="","",EDATE(Inputs!$B$29,314-1))</f>
        <v>55885</v>
      </c>
      <c r="C319" s="35" t="n">
        <f aca="false">IF(A319="","",G318)</f>
        <v>918700.34546395</v>
      </c>
      <c r="D319" s="35" t="n">
        <f aca="false">IF(A319="","",MIN(Sizing!$B$32,C319*(1+Sizing!$B$24/12)))</f>
        <v>22511.8172418543</v>
      </c>
      <c r="E319" s="35" t="n">
        <f aca="false">IF(A319="","",C319*Sizing!$B$24/12)</f>
        <v>5550.4812538447</v>
      </c>
      <c r="F319" s="35" t="n">
        <f aca="false">IF(A319="","",D319-E319)</f>
        <v>16961.3359880096</v>
      </c>
      <c r="G319" s="35" t="n">
        <f aca="false">IF(A319="","",MAX(0,C319-F319))</f>
        <v>901739.009475941</v>
      </c>
      <c r="H319" s="36" t="n">
        <f aca="false">IF(A319="","",IF(Inputs!$B$35="5-4-3-2-1 step-down",MAX(0,6-ROUNDUP(A319/12,0))/100,IF(Inputs!$B$35="3-2-1 step-down",MAX(0,4-ROUNDUP(A319/12,0))/100,0)))</f>
        <v>0</v>
      </c>
      <c r="I319" s="35" t="n">
        <f aca="false">IF(A319="","",G319*(1+H319))</f>
        <v>901739.009475941</v>
      </c>
    </row>
    <row r="320" customFormat="false" ht="15" hidden="false" customHeight="false" outlineLevel="0" collapsed="false">
      <c r="A320" s="29" t="n">
        <f aca="false">IF(315&gt;Sizing!$B$25,"",315)</f>
        <v>315</v>
      </c>
      <c r="B320" s="30" t="n">
        <f aca="false">IF(A320="","",EDATE(Inputs!$B$29,315-1))</f>
        <v>55916</v>
      </c>
      <c r="C320" s="31" t="n">
        <f aca="false">IF(A320="","",G319)</f>
        <v>901739.009475941</v>
      </c>
      <c r="D320" s="31" t="n">
        <f aca="false">IF(A320="","",MIN(Sizing!$B$32,C320*(1+Sizing!$B$24/12)))</f>
        <v>22511.8172418543</v>
      </c>
      <c r="E320" s="31" t="n">
        <f aca="false">IF(A320="","",C320*Sizing!$B$24/12)</f>
        <v>5448.00651558381</v>
      </c>
      <c r="F320" s="31" t="n">
        <f aca="false">IF(A320="","",D320-E320)</f>
        <v>17063.8107262705</v>
      </c>
      <c r="G320" s="31" t="n">
        <f aca="false">IF(A320="","",MAX(0,C320-F320))</f>
        <v>884675.19874967</v>
      </c>
      <c r="H320" s="32" t="n">
        <f aca="false">IF(A320="","",IF(Inputs!$B$35="5-4-3-2-1 step-down",MAX(0,6-ROUNDUP(A320/12,0))/100,IF(Inputs!$B$35="3-2-1 step-down",MAX(0,4-ROUNDUP(A320/12,0))/100,0)))</f>
        <v>0</v>
      </c>
      <c r="I320" s="31" t="n">
        <f aca="false">IF(A320="","",G320*(1+H320))</f>
        <v>884675.19874967</v>
      </c>
    </row>
    <row r="321" customFormat="false" ht="15" hidden="false" customHeight="false" outlineLevel="0" collapsed="false">
      <c r="A321" s="33" t="n">
        <f aca="false">IF(316&gt;Sizing!$B$25,"",316)</f>
        <v>316</v>
      </c>
      <c r="B321" s="34" t="n">
        <f aca="false">IF(A321="","",EDATE(Inputs!$B$29,316-1))</f>
        <v>55944</v>
      </c>
      <c r="C321" s="35" t="n">
        <f aca="false">IF(A321="","",G320)</f>
        <v>884675.19874967</v>
      </c>
      <c r="D321" s="35" t="n">
        <f aca="false">IF(A321="","",MIN(Sizing!$B$32,C321*(1+Sizing!$B$24/12)))</f>
        <v>22511.8172418543</v>
      </c>
      <c r="E321" s="35" t="n">
        <f aca="false">IF(A321="","",C321*Sizing!$B$24/12)</f>
        <v>5344.91265911259</v>
      </c>
      <c r="F321" s="35" t="n">
        <f aca="false">IF(A321="","",D321-E321)</f>
        <v>17166.9045827417</v>
      </c>
      <c r="G321" s="35" t="n">
        <f aca="false">IF(A321="","",MAX(0,C321-F321))</f>
        <v>867508.294166928</v>
      </c>
      <c r="H321" s="36" t="n">
        <f aca="false">IF(A321="","",IF(Inputs!$B$35="5-4-3-2-1 step-down",MAX(0,6-ROUNDUP(A321/12,0))/100,IF(Inputs!$B$35="3-2-1 step-down",MAX(0,4-ROUNDUP(A321/12,0))/100,0)))</f>
        <v>0</v>
      </c>
      <c r="I321" s="35" t="n">
        <f aca="false">IF(A321="","",G321*(1+H321))</f>
        <v>867508.294166928</v>
      </c>
    </row>
    <row r="322" customFormat="false" ht="15" hidden="false" customHeight="false" outlineLevel="0" collapsed="false">
      <c r="A322" s="29" t="n">
        <f aca="false">IF(317&gt;Sizing!$B$25,"",317)</f>
        <v>317</v>
      </c>
      <c r="B322" s="30" t="n">
        <f aca="false">IF(A322="","",EDATE(Inputs!$B$29,317-1))</f>
        <v>55975</v>
      </c>
      <c r="C322" s="31" t="n">
        <f aca="false">IF(A322="","",G321)</f>
        <v>867508.294166928</v>
      </c>
      <c r="D322" s="31" t="n">
        <f aca="false">IF(A322="","",MIN(Sizing!$B$32,C322*(1+Sizing!$B$24/12)))</f>
        <v>22511.8172418543</v>
      </c>
      <c r="E322" s="31" t="n">
        <f aca="false">IF(A322="","",C322*Sizing!$B$24/12)</f>
        <v>5241.19594392519</v>
      </c>
      <c r="F322" s="31" t="n">
        <f aca="false">IF(A322="","",D322-E322)</f>
        <v>17270.6212979291</v>
      </c>
      <c r="G322" s="31" t="n">
        <f aca="false">IF(A322="","",MAX(0,C322-F322))</f>
        <v>850237.672868999</v>
      </c>
      <c r="H322" s="32" t="n">
        <f aca="false">IF(A322="","",IF(Inputs!$B$35="5-4-3-2-1 step-down",MAX(0,6-ROUNDUP(A322/12,0))/100,IF(Inputs!$B$35="3-2-1 step-down",MAX(0,4-ROUNDUP(A322/12,0))/100,0)))</f>
        <v>0</v>
      </c>
      <c r="I322" s="31" t="n">
        <f aca="false">IF(A322="","",G322*(1+H322))</f>
        <v>850237.672868999</v>
      </c>
    </row>
    <row r="323" customFormat="false" ht="15" hidden="false" customHeight="false" outlineLevel="0" collapsed="false">
      <c r="A323" s="33" t="n">
        <f aca="false">IF(318&gt;Sizing!$B$25,"",318)</f>
        <v>318</v>
      </c>
      <c r="B323" s="34" t="n">
        <f aca="false">IF(A323="","",EDATE(Inputs!$B$29,318-1))</f>
        <v>56005</v>
      </c>
      <c r="C323" s="35" t="n">
        <f aca="false">IF(A323="","",G322)</f>
        <v>850237.672868999</v>
      </c>
      <c r="D323" s="35" t="n">
        <f aca="false">IF(A323="","",MIN(Sizing!$B$32,C323*(1+Sizing!$B$24/12)))</f>
        <v>22511.8172418543</v>
      </c>
      <c r="E323" s="35" t="n">
        <f aca="false">IF(A323="","",C323*Sizing!$B$24/12)</f>
        <v>5136.85260691687</v>
      </c>
      <c r="F323" s="35" t="n">
        <f aca="false">IF(A323="","",D323-E323)</f>
        <v>17374.9646349375</v>
      </c>
      <c r="G323" s="35" t="n">
        <f aca="false">IF(A323="","",MAX(0,C323-F323))</f>
        <v>832862.708234062</v>
      </c>
      <c r="H323" s="36" t="n">
        <f aca="false">IF(A323="","",IF(Inputs!$B$35="5-4-3-2-1 step-down",MAX(0,6-ROUNDUP(A323/12,0))/100,IF(Inputs!$B$35="3-2-1 step-down",MAX(0,4-ROUNDUP(A323/12,0))/100,0)))</f>
        <v>0</v>
      </c>
      <c r="I323" s="35" t="n">
        <f aca="false">IF(A323="","",G323*(1+H323))</f>
        <v>832862.708234062</v>
      </c>
    </row>
    <row r="324" customFormat="false" ht="15" hidden="false" customHeight="false" outlineLevel="0" collapsed="false">
      <c r="A324" s="29" t="n">
        <f aca="false">IF(319&gt;Sizing!$B$25,"",319)</f>
        <v>319</v>
      </c>
      <c r="B324" s="30" t="n">
        <f aca="false">IF(A324="","",EDATE(Inputs!$B$29,319-1))</f>
        <v>56036</v>
      </c>
      <c r="C324" s="31" t="n">
        <f aca="false">IF(A324="","",G323)</f>
        <v>832862.708234062</v>
      </c>
      <c r="D324" s="31" t="n">
        <f aca="false">IF(A324="","",MIN(Sizing!$B$32,C324*(1+Sizing!$B$24/12)))</f>
        <v>22511.8172418543</v>
      </c>
      <c r="E324" s="31" t="n">
        <f aca="false">IF(A324="","",C324*Sizing!$B$24/12)</f>
        <v>5031.87886224746</v>
      </c>
      <c r="F324" s="31" t="n">
        <f aca="false">IF(A324="","",D324-E324)</f>
        <v>17479.9383796069</v>
      </c>
      <c r="G324" s="31" t="n">
        <f aca="false">IF(A324="","",MAX(0,C324-F324))</f>
        <v>815382.769854455</v>
      </c>
      <c r="H324" s="32" t="n">
        <f aca="false">IF(A324="","",IF(Inputs!$B$35="5-4-3-2-1 step-down",MAX(0,6-ROUNDUP(A324/12,0))/100,IF(Inputs!$B$35="3-2-1 step-down",MAX(0,4-ROUNDUP(A324/12,0))/100,0)))</f>
        <v>0</v>
      </c>
      <c r="I324" s="31" t="n">
        <f aca="false">IF(A324="","",G324*(1+H324))</f>
        <v>815382.769854455</v>
      </c>
    </row>
    <row r="325" customFormat="false" ht="15" hidden="false" customHeight="false" outlineLevel="0" collapsed="false">
      <c r="A325" s="33" t="n">
        <f aca="false">IF(320&gt;Sizing!$B$25,"",320)</f>
        <v>320</v>
      </c>
      <c r="B325" s="34" t="n">
        <f aca="false">IF(A325="","",EDATE(Inputs!$B$29,320-1))</f>
        <v>56066</v>
      </c>
      <c r="C325" s="35" t="n">
        <f aca="false">IF(A325="","",G324)</f>
        <v>815382.769854455</v>
      </c>
      <c r="D325" s="35" t="n">
        <f aca="false">IF(A325="","",MIN(Sizing!$B$32,C325*(1+Sizing!$B$24/12)))</f>
        <v>22511.8172418543</v>
      </c>
      <c r="E325" s="35" t="n">
        <f aca="false">IF(A325="","",C325*Sizing!$B$24/12)</f>
        <v>4926.270901204</v>
      </c>
      <c r="F325" s="35" t="n">
        <f aca="false">IF(A325="","",D325-E325)</f>
        <v>17585.5463406503</v>
      </c>
      <c r="G325" s="35" t="n">
        <f aca="false">IF(A325="","",MAX(0,C325-F325))</f>
        <v>797797.223513804</v>
      </c>
      <c r="H325" s="36" t="n">
        <f aca="false">IF(A325="","",IF(Inputs!$B$35="5-4-3-2-1 step-down",MAX(0,6-ROUNDUP(A325/12,0))/100,IF(Inputs!$B$35="3-2-1 step-down",MAX(0,4-ROUNDUP(A325/12,0))/100,0)))</f>
        <v>0</v>
      </c>
      <c r="I325" s="35" t="n">
        <f aca="false">IF(A325="","",G325*(1+H325))</f>
        <v>797797.223513804</v>
      </c>
    </row>
    <row r="326" customFormat="false" ht="15" hidden="false" customHeight="false" outlineLevel="0" collapsed="false">
      <c r="A326" s="29" t="n">
        <f aca="false">IF(321&gt;Sizing!$B$25,"",321)</f>
        <v>321</v>
      </c>
      <c r="B326" s="30" t="n">
        <f aca="false">IF(A326="","",EDATE(Inputs!$B$29,321-1))</f>
        <v>56097</v>
      </c>
      <c r="C326" s="31" t="n">
        <f aca="false">IF(A326="","",G325)</f>
        <v>797797.223513804</v>
      </c>
      <c r="D326" s="31" t="n">
        <f aca="false">IF(A326="","",MIN(Sizing!$B$32,C326*(1+Sizing!$B$24/12)))</f>
        <v>22511.8172418543</v>
      </c>
      <c r="E326" s="31" t="n">
        <f aca="false">IF(A326="","",C326*Sizing!$B$24/12)</f>
        <v>4820.02489206257</v>
      </c>
      <c r="F326" s="31" t="n">
        <f aca="false">IF(A326="","",D326-E326)</f>
        <v>17691.7923497918</v>
      </c>
      <c r="G326" s="31" t="n">
        <f aca="false">IF(A326="","",MAX(0,C326-F326))</f>
        <v>780105.431164013</v>
      </c>
      <c r="H326" s="32" t="n">
        <f aca="false">IF(A326="","",IF(Inputs!$B$35="5-4-3-2-1 step-down",MAX(0,6-ROUNDUP(A326/12,0))/100,IF(Inputs!$B$35="3-2-1 step-down",MAX(0,4-ROUNDUP(A326/12,0))/100,0)))</f>
        <v>0</v>
      </c>
      <c r="I326" s="31" t="n">
        <f aca="false">IF(A326="","",G326*(1+H326))</f>
        <v>780105.431164013</v>
      </c>
    </row>
    <row r="327" customFormat="false" ht="15" hidden="false" customHeight="false" outlineLevel="0" collapsed="false">
      <c r="A327" s="33" t="n">
        <f aca="false">IF(322&gt;Sizing!$B$25,"",322)</f>
        <v>322</v>
      </c>
      <c r="B327" s="34" t="n">
        <f aca="false">IF(A327="","",EDATE(Inputs!$B$29,322-1))</f>
        <v>56128</v>
      </c>
      <c r="C327" s="35" t="n">
        <f aca="false">IF(A327="","",G326)</f>
        <v>780105.431164013</v>
      </c>
      <c r="D327" s="35" t="n">
        <f aca="false">IF(A327="","",MIN(Sizing!$B$32,C327*(1+Sizing!$B$24/12)))</f>
        <v>22511.8172418543</v>
      </c>
      <c r="E327" s="35" t="n">
        <f aca="false">IF(A327="","",C327*Sizing!$B$24/12)</f>
        <v>4713.13697994924</v>
      </c>
      <c r="F327" s="35" t="n">
        <f aca="false">IF(A327="","",D327-E327)</f>
        <v>17798.6802619051</v>
      </c>
      <c r="G327" s="35" t="n">
        <f aca="false">IF(A327="","",MAX(0,C327-F327))</f>
        <v>762306.750902108</v>
      </c>
      <c r="H327" s="36" t="n">
        <f aca="false">IF(A327="","",IF(Inputs!$B$35="5-4-3-2-1 step-down",MAX(0,6-ROUNDUP(A327/12,0))/100,IF(Inputs!$B$35="3-2-1 step-down",MAX(0,4-ROUNDUP(A327/12,0))/100,0)))</f>
        <v>0</v>
      </c>
      <c r="I327" s="35" t="n">
        <f aca="false">IF(A327="","",G327*(1+H327))</f>
        <v>762306.750902108</v>
      </c>
    </row>
    <row r="328" customFormat="false" ht="15" hidden="false" customHeight="false" outlineLevel="0" collapsed="false">
      <c r="A328" s="29" t="n">
        <f aca="false">IF(323&gt;Sizing!$B$25,"",323)</f>
        <v>323</v>
      </c>
      <c r="B328" s="30" t="n">
        <f aca="false">IF(A328="","",EDATE(Inputs!$B$29,323-1))</f>
        <v>56158</v>
      </c>
      <c r="C328" s="31" t="n">
        <f aca="false">IF(A328="","",G327)</f>
        <v>762306.750902108</v>
      </c>
      <c r="D328" s="31" t="n">
        <f aca="false">IF(A328="","",MIN(Sizing!$B$32,C328*(1+Sizing!$B$24/12)))</f>
        <v>22511.8172418543</v>
      </c>
      <c r="E328" s="31" t="n">
        <f aca="false">IF(A328="","",C328*Sizing!$B$24/12)</f>
        <v>4605.60328670023</v>
      </c>
      <c r="F328" s="31" t="n">
        <f aca="false">IF(A328="","",D328-E328)</f>
        <v>17906.2139551541</v>
      </c>
      <c r="G328" s="31" t="n">
        <f aca="false">IF(A328="","",MAX(0,C328-F328))</f>
        <v>744400.536946954</v>
      </c>
      <c r="H328" s="32" t="n">
        <f aca="false">IF(A328="","",IF(Inputs!$B$35="5-4-3-2-1 step-down",MAX(0,6-ROUNDUP(A328/12,0))/100,IF(Inputs!$B$35="3-2-1 step-down",MAX(0,4-ROUNDUP(A328/12,0))/100,0)))</f>
        <v>0</v>
      </c>
      <c r="I328" s="31" t="n">
        <f aca="false">IF(A328="","",G328*(1+H328))</f>
        <v>744400.536946954</v>
      </c>
    </row>
    <row r="329" customFormat="false" ht="15" hidden="false" customHeight="false" outlineLevel="0" collapsed="false">
      <c r="A329" s="33" t="n">
        <f aca="false">IF(324&gt;Sizing!$B$25,"",324)</f>
        <v>324</v>
      </c>
      <c r="B329" s="34" t="n">
        <f aca="false">IF(A329="","",EDATE(Inputs!$B$29,324-1))</f>
        <v>56189</v>
      </c>
      <c r="C329" s="35" t="n">
        <f aca="false">IF(A329="","",G328)</f>
        <v>744400.536946954</v>
      </c>
      <c r="D329" s="35" t="n">
        <f aca="false">IF(A329="","",MIN(Sizing!$B$32,C329*(1+Sizing!$B$24/12)))</f>
        <v>22511.8172418543</v>
      </c>
      <c r="E329" s="35" t="n">
        <f aca="false">IF(A329="","",C329*Sizing!$B$24/12)</f>
        <v>4497.41991072118</v>
      </c>
      <c r="F329" s="35" t="n">
        <f aca="false">IF(A329="","",D329-E329)</f>
        <v>18014.3973311332</v>
      </c>
      <c r="G329" s="35" t="n">
        <f aca="false">IF(A329="","",MAX(0,C329-F329))</f>
        <v>726386.13961582</v>
      </c>
      <c r="H329" s="36" t="n">
        <f aca="false">IF(A329="","",IF(Inputs!$B$35="5-4-3-2-1 step-down",MAX(0,6-ROUNDUP(A329/12,0))/100,IF(Inputs!$B$35="3-2-1 step-down",MAX(0,4-ROUNDUP(A329/12,0))/100,0)))</f>
        <v>0</v>
      </c>
      <c r="I329" s="35" t="n">
        <f aca="false">IF(A329="","",G329*(1+H329))</f>
        <v>726386.13961582</v>
      </c>
    </row>
    <row r="330" customFormat="false" ht="15" hidden="false" customHeight="false" outlineLevel="0" collapsed="false">
      <c r="A330" s="29" t="n">
        <f aca="false">IF(325&gt;Sizing!$B$25,"",325)</f>
        <v>325</v>
      </c>
      <c r="B330" s="30" t="n">
        <f aca="false">IF(A330="","",EDATE(Inputs!$B$29,325-1))</f>
        <v>56219</v>
      </c>
      <c r="C330" s="31" t="n">
        <f aca="false">IF(A330="","",G329)</f>
        <v>726386.13961582</v>
      </c>
      <c r="D330" s="31" t="n">
        <f aca="false">IF(A330="","",MIN(Sizing!$B$32,C330*(1+Sizing!$B$24/12)))</f>
        <v>22511.8172418543</v>
      </c>
      <c r="E330" s="31" t="n">
        <f aca="false">IF(A330="","",C330*Sizing!$B$24/12)</f>
        <v>4388.58292684558</v>
      </c>
      <c r="F330" s="31" t="n">
        <f aca="false">IF(A330="","",D330-E330)</f>
        <v>18123.2343150088</v>
      </c>
      <c r="G330" s="31" t="n">
        <f aca="false">IF(A330="","",MAX(0,C330-F330))</f>
        <v>708262.905300812</v>
      </c>
      <c r="H330" s="32" t="n">
        <f aca="false">IF(A330="","",IF(Inputs!$B$35="5-4-3-2-1 step-down",MAX(0,6-ROUNDUP(A330/12,0))/100,IF(Inputs!$B$35="3-2-1 step-down",MAX(0,4-ROUNDUP(A330/12,0))/100,0)))</f>
        <v>0</v>
      </c>
      <c r="I330" s="31" t="n">
        <f aca="false">IF(A330="","",G330*(1+H330))</f>
        <v>708262.905300812</v>
      </c>
    </row>
    <row r="331" customFormat="false" ht="15" hidden="false" customHeight="false" outlineLevel="0" collapsed="false">
      <c r="A331" s="33" t="n">
        <f aca="false">IF(326&gt;Sizing!$B$25,"",326)</f>
        <v>326</v>
      </c>
      <c r="B331" s="34" t="n">
        <f aca="false">IF(A331="","",EDATE(Inputs!$B$29,326-1))</f>
        <v>56250</v>
      </c>
      <c r="C331" s="35" t="n">
        <f aca="false">IF(A331="","",G330)</f>
        <v>708262.905300812</v>
      </c>
      <c r="D331" s="35" t="n">
        <f aca="false">IF(A331="","",MIN(Sizing!$B$32,C331*(1+Sizing!$B$24/12)))</f>
        <v>22511.8172418543</v>
      </c>
      <c r="E331" s="35" t="n">
        <f aca="false">IF(A331="","",C331*Sizing!$B$24/12)</f>
        <v>4279.0883861924</v>
      </c>
      <c r="F331" s="35" t="n">
        <f aca="false">IF(A331="","",D331-E331)</f>
        <v>18232.7288556619</v>
      </c>
      <c r="G331" s="35" t="n">
        <f aca="false">IF(A331="","",MAX(0,C331-F331))</f>
        <v>690030.17644515</v>
      </c>
      <c r="H331" s="36" t="n">
        <f aca="false">IF(A331="","",IF(Inputs!$B$35="5-4-3-2-1 step-down",MAX(0,6-ROUNDUP(A331/12,0))/100,IF(Inputs!$B$35="3-2-1 step-down",MAX(0,4-ROUNDUP(A331/12,0))/100,0)))</f>
        <v>0</v>
      </c>
      <c r="I331" s="35" t="n">
        <f aca="false">IF(A331="","",G331*(1+H331))</f>
        <v>690030.17644515</v>
      </c>
    </row>
    <row r="332" customFormat="false" ht="15" hidden="false" customHeight="false" outlineLevel="0" collapsed="false">
      <c r="A332" s="29" t="n">
        <f aca="false">IF(327&gt;Sizing!$B$25,"",327)</f>
        <v>327</v>
      </c>
      <c r="B332" s="30" t="n">
        <f aca="false">IF(A332="","",EDATE(Inputs!$B$29,327-1))</f>
        <v>56281</v>
      </c>
      <c r="C332" s="31" t="n">
        <f aca="false">IF(A332="","",G331)</f>
        <v>690030.17644515</v>
      </c>
      <c r="D332" s="31" t="n">
        <f aca="false">IF(A332="","",MIN(Sizing!$B$32,C332*(1+Sizing!$B$24/12)))</f>
        <v>22511.8172418543</v>
      </c>
      <c r="E332" s="31" t="n">
        <f aca="false">IF(A332="","",C332*Sizing!$B$24/12)</f>
        <v>4168.93231602278</v>
      </c>
      <c r="F332" s="31" t="n">
        <f aca="false">IF(A332="","",D332-E332)</f>
        <v>18342.8849258316</v>
      </c>
      <c r="G332" s="31" t="n">
        <f aca="false">IF(A332="","",MAX(0,C332-F332))</f>
        <v>671687.291519318</v>
      </c>
      <c r="H332" s="32" t="n">
        <f aca="false">IF(A332="","",IF(Inputs!$B$35="5-4-3-2-1 step-down",MAX(0,6-ROUNDUP(A332/12,0))/100,IF(Inputs!$B$35="3-2-1 step-down",MAX(0,4-ROUNDUP(A332/12,0))/100,0)))</f>
        <v>0</v>
      </c>
      <c r="I332" s="31" t="n">
        <f aca="false">IF(A332="","",G332*(1+H332))</f>
        <v>671687.291519318</v>
      </c>
    </row>
    <row r="333" customFormat="false" ht="15" hidden="false" customHeight="false" outlineLevel="0" collapsed="false">
      <c r="A333" s="33" t="n">
        <f aca="false">IF(328&gt;Sizing!$B$25,"",328)</f>
        <v>328</v>
      </c>
      <c r="B333" s="34" t="n">
        <f aca="false">IF(A333="","",EDATE(Inputs!$B$29,328-1))</f>
        <v>56309</v>
      </c>
      <c r="C333" s="35" t="n">
        <f aca="false">IF(A333="","",G332)</f>
        <v>671687.291519318</v>
      </c>
      <c r="D333" s="35" t="n">
        <f aca="false">IF(A333="","",MIN(Sizing!$B$32,C333*(1+Sizing!$B$24/12)))</f>
        <v>22511.8172418543</v>
      </c>
      <c r="E333" s="35" t="n">
        <f aca="false">IF(A333="","",C333*Sizing!$B$24/12)</f>
        <v>4058.11071959588</v>
      </c>
      <c r="F333" s="35" t="n">
        <f aca="false">IF(A333="","",D333-E333)</f>
        <v>18453.7065222585</v>
      </c>
      <c r="G333" s="35" t="n">
        <f aca="false">IF(A333="","",MAX(0,C333-F333))</f>
        <v>653233.58499706</v>
      </c>
      <c r="H333" s="36" t="n">
        <f aca="false">IF(A333="","",IF(Inputs!$B$35="5-4-3-2-1 step-down",MAX(0,6-ROUNDUP(A333/12,0))/100,IF(Inputs!$B$35="3-2-1 step-down",MAX(0,4-ROUNDUP(A333/12,0))/100,0)))</f>
        <v>0</v>
      </c>
      <c r="I333" s="35" t="n">
        <f aca="false">IF(A333="","",G333*(1+H333))</f>
        <v>653233.58499706</v>
      </c>
    </row>
    <row r="334" customFormat="false" ht="15" hidden="false" customHeight="false" outlineLevel="0" collapsed="false">
      <c r="A334" s="29" t="n">
        <f aca="false">IF(329&gt;Sizing!$B$25,"",329)</f>
        <v>329</v>
      </c>
      <c r="B334" s="30" t="n">
        <f aca="false">IF(A334="","",EDATE(Inputs!$B$29,329-1))</f>
        <v>56340</v>
      </c>
      <c r="C334" s="31" t="n">
        <f aca="false">IF(A334="","",G333)</f>
        <v>653233.58499706</v>
      </c>
      <c r="D334" s="31" t="n">
        <f aca="false">IF(A334="","",MIN(Sizing!$B$32,C334*(1+Sizing!$B$24/12)))</f>
        <v>22511.8172418543</v>
      </c>
      <c r="E334" s="31" t="n">
        <f aca="false">IF(A334="","",C334*Sizing!$B$24/12)</f>
        <v>3946.6195760239</v>
      </c>
      <c r="F334" s="31" t="n">
        <f aca="false">IF(A334="","",D334-E334)</f>
        <v>18565.1976658304</v>
      </c>
      <c r="G334" s="31" t="n">
        <f aca="false">IF(A334="","",MAX(0,C334-F334))</f>
        <v>634668.387331229</v>
      </c>
      <c r="H334" s="32" t="n">
        <f aca="false">IF(A334="","",IF(Inputs!$B$35="5-4-3-2-1 step-down",MAX(0,6-ROUNDUP(A334/12,0))/100,IF(Inputs!$B$35="3-2-1 step-down",MAX(0,4-ROUNDUP(A334/12,0))/100,0)))</f>
        <v>0</v>
      </c>
      <c r="I334" s="31" t="n">
        <f aca="false">IF(A334="","",G334*(1+H334))</f>
        <v>634668.387331229</v>
      </c>
    </row>
    <row r="335" customFormat="false" ht="15" hidden="false" customHeight="false" outlineLevel="0" collapsed="false">
      <c r="A335" s="33" t="n">
        <f aca="false">IF(330&gt;Sizing!$B$25,"",330)</f>
        <v>330</v>
      </c>
      <c r="B335" s="34" t="n">
        <f aca="false">IF(A335="","",EDATE(Inputs!$B$29,330-1))</f>
        <v>56370</v>
      </c>
      <c r="C335" s="35" t="n">
        <f aca="false">IF(A335="","",G334)</f>
        <v>634668.387331229</v>
      </c>
      <c r="D335" s="35" t="n">
        <f aca="false">IF(A335="","",MIN(Sizing!$B$32,C335*(1+Sizing!$B$24/12)))</f>
        <v>22511.8172418543</v>
      </c>
      <c r="E335" s="35" t="n">
        <f aca="false">IF(A335="","",C335*Sizing!$B$24/12)</f>
        <v>3834.45484012618</v>
      </c>
      <c r="F335" s="35" t="n">
        <f aca="false">IF(A335="","",D335-E335)</f>
        <v>18677.3624017282</v>
      </c>
      <c r="G335" s="35" t="n">
        <f aca="false">IF(A335="","",MAX(0,C335-F335))</f>
        <v>615991.024929501</v>
      </c>
      <c r="H335" s="36" t="n">
        <f aca="false">IF(A335="","",IF(Inputs!$B$35="5-4-3-2-1 step-down",MAX(0,6-ROUNDUP(A335/12,0))/100,IF(Inputs!$B$35="3-2-1 step-down",MAX(0,4-ROUNDUP(A335/12,0))/100,0)))</f>
        <v>0</v>
      </c>
      <c r="I335" s="35" t="n">
        <f aca="false">IF(A335="","",G335*(1+H335))</f>
        <v>615991.024929501</v>
      </c>
    </row>
    <row r="336" customFormat="false" ht="15" hidden="false" customHeight="false" outlineLevel="0" collapsed="false">
      <c r="A336" s="29" t="n">
        <f aca="false">IF(331&gt;Sizing!$B$25,"",331)</f>
        <v>331</v>
      </c>
      <c r="B336" s="30" t="n">
        <f aca="false">IF(A336="","",EDATE(Inputs!$B$29,331-1))</f>
        <v>56401</v>
      </c>
      <c r="C336" s="31" t="n">
        <f aca="false">IF(A336="","",G335)</f>
        <v>615991.024929501</v>
      </c>
      <c r="D336" s="31" t="n">
        <f aca="false">IF(A336="","",MIN(Sizing!$B$32,C336*(1+Sizing!$B$24/12)))</f>
        <v>22511.8172418543</v>
      </c>
      <c r="E336" s="31" t="n">
        <f aca="false">IF(A336="","",C336*Sizing!$B$24/12)</f>
        <v>3721.6124422824</v>
      </c>
      <c r="F336" s="31" t="n">
        <f aca="false">IF(A336="","",D336-E336)</f>
        <v>18790.2047995719</v>
      </c>
      <c r="G336" s="31" t="n">
        <f aca="false">IF(A336="","",MAX(0,C336-F336))</f>
        <v>597200.820129929</v>
      </c>
      <c r="H336" s="32" t="n">
        <f aca="false">IF(A336="","",IF(Inputs!$B$35="5-4-3-2-1 step-down",MAX(0,6-ROUNDUP(A336/12,0))/100,IF(Inputs!$B$35="3-2-1 step-down",MAX(0,4-ROUNDUP(A336/12,0))/100,0)))</f>
        <v>0</v>
      </c>
      <c r="I336" s="31" t="n">
        <f aca="false">IF(A336="","",G336*(1+H336))</f>
        <v>597200.820129929</v>
      </c>
    </row>
    <row r="337" customFormat="false" ht="15" hidden="false" customHeight="false" outlineLevel="0" collapsed="false">
      <c r="A337" s="33" t="n">
        <f aca="false">IF(332&gt;Sizing!$B$25,"",332)</f>
        <v>332</v>
      </c>
      <c r="B337" s="34" t="n">
        <f aca="false">IF(A337="","",EDATE(Inputs!$B$29,332-1))</f>
        <v>56431</v>
      </c>
      <c r="C337" s="35" t="n">
        <f aca="false">IF(A337="","",G336)</f>
        <v>597200.820129929</v>
      </c>
      <c r="D337" s="35" t="n">
        <f aca="false">IF(A337="","",MIN(Sizing!$B$32,C337*(1+Sizing!$B$24/12)))</f>
        <v>22511.8172418543</v>
      </c>
      <c r="E337" s="35" t="n">
        <f aca="false">IF(A337="","",C337*Sizing!$B$24/12)</f>
        <v>3608.08828828499</v>
      </c>
      <c r="F337" s="35" t="n">
        <f aca="false">IF(A337="","",D337-E337)</f>
        <v>18903.7289535693</v>
      </c>
      <c r="G337" s="35" t="n">
        <f aca="false">IF(A337="","",MAX(0,C337-F337))</f>
        <v>578297.09117636</v>
      </c>
      <c r="H337" s="36" t="n">
        <f aca="false">IF(A337="","",IF(Inputs!$B$35="5-4-3-2-1 step-down",MAX(0,6-ROUNDUP(A337/12,0))/100,IF(Inputs!$B$35="3-2-1 step-down",MAX(0,4-ROUNDUP(A337/12,0))/100,0)))</f>
        <v>0</v>
      </c>
      <c r="I337" s="35" t="n">
        <f aca="false">IF(A337="","",G337*(1+H337))</f>
        <v>578297.09117636</v>
      </c>
    </row>
    <row r="338" customFormat="false" ht="15" hidden="false" customHeight="false" outlineLevel="0" collapsed="false">
      <c r="A338" s="29" t="n">
        <f aca="false">IF(333&gt;Sizing!$B$25,"",333)</f>
        <v>333</v>
      </c>
      <c r="B338" s="30" t="n">
        <f aca="false">IF(A338="","",EDATE(Inputs!$B$29,333-1))</f>
        <v>56462</v>
      </c>
      <c r="C338" s="31" t="n">
        <f aca="false">IF(A338="","",G337)</f>
        <v>578297.09117636</v>
      </c>
      <c r="D338" s="31" t="n">
        <f aca="false">IF(A338="","",MIN(Sizing!$B$32,C338*(1+Sizing!$B$24/12)))</f>
        <v>22511.8172418543</v>
      </c>
      <c r="E338" s="31" t="n">
        <f aca="false">IF(A338="","",C338*Sizing!$B$24/12)</f>
        <v>3493.87825919051</v>
      </c>
      <c r="F338" s="31" t="n">
        <f aca="false">IF(A338="","",D338-E338)</f>
        <v>19017.9389826638</v>
      </c>
      <c r="G338" s="31" t="n">
        <f aca="false">IF(A338="","",MAX(0,C338-F338))</f>
        <v>559279.152193696</v>
      </c>
      <c r="H338" s="32" t="n">
        <f aca="false">IF(A338="","",IF(Inputs!$B$35="5-4-3-2-1 step-down",MAX(0,6-ROUNDUP(A338/12,0))/100,IF(Inputs!$B$35="3-2-1 step-down",MAX(0,4-ROUNDUP(A338/12,0))/100,0)))</f>
        <v>0</v>
      </c>
      <c r="I338" s="31" t="n">
        <f aca="false">IF(A338="","",G338*(1+H338))</f>
        <v>559279.152193696</v>
      </c>
    </row>
    <row r="339" customFormat="false" ht="15" hidden="false" customHeight="false" outlineLevel="0" collapsed="false">
      <c r="A339" s="33" t="n">
        <f aca="false">IF(334&gt;Sizing!$B$25,"",334)</f>
        <v>334</v>
      </c>
      <c r="B339" s="34" t="n">
        <f aca="false">IF(A339="","",EDATE(Inputs!$B$29,334-1))</f>
        <v>56493</v>
      </c>
      <c r="C339" s="35" t="n">
        <f aca="false">IF(A339="","",G338)</f>
        <v>559279.152193696</v>
      </c>
      <c r="D339" s="35" t="n">
        <f aca="false">IF(A339="","",MIN(Sizing!$B$32,C339*(1+Sizing!$B$24/12)))</f>
        <v>22511.8172418543</v>
      </c>
      <c r="E339" s="35" t="n">
        <f aca="false">IF(A339="","",C339*Sizing!$B$24/12)</f>
        <v>3378.97821117025</v>
      </c>
      <c r="F339" s="35" t="n">
        <f aca="false">IF(A339="","",D339-E339)</f>
        <v>19132.8390306841</v>
      </c>
      <c r="G339" s="35" t="n">
        <f aca="false">IF(A339="","",MAX(0,C339-F339))</f>
        <v>540146.313163012</v>
      </c>
      <c r="H339" s="36" t="n">
        <f aca="false">IF(A339="","",IF(Inputs!$B$35="5-4-3-2-1 step-down",MAX(0,6-ROUNDUP(A339/12,0))/100,IF(Inputs!$B$35="3-2-1 step-down",MAX(0,4-ROUNDUP(A339/12,0))/100,0)))</f>
        <v>0</v>
      </c>
      <c r="I339" s="35" t="n">
        <f aca="false">IF(A339="","",G339*(1+H339))</f>
        <v>540146.313163012</v>
      </c>
    </row>
    <row r="340" customFormat="false" ht="15" hidden="false" customHeight="false" outlineLevel="0" collapsed="false">
      <c r="A340" s="29" t="n">
        <f aca="false">IF(335&gt;Sizing!$B$25,"",335)</f>
        <v>335</v>
      </c>
      <c r="B340" s="30" t="n">
        <f aca="false">IF(A340="","",EDATE(Inputs!$B$29,335-1))</f>
        <v>56523</v>
      </c>
      <c r="C340" s="31" t="n">
        <f aca="false">IF(A340="","",G339)</f>
        <v>540146.313163012</v>
      </c>
      <c r="D340" s="31" t="n">
        <f aca="false">IF(A340="","",MIN(Sizing!$B$32,C340*(1+Sizing!$B$24/12)))</f>
        <v>22511.8172418543</v>
      </c>
      <c r="E340" s="31" t="n">
        <f aca="false">IF(A340="","",C340*Sizing!$B$24/12)</f>
        <v>3263.38397535986</v>
      </c>
      <c r="F340" s="31" t="n">
        <f aca="false">IF(A340="","",D340-E340)</f>
        <v>19248.4332664945</v>
      </c>
      <c r="G340" s="31" t="n">
        <f aca="false">IF(A340="","",MAX(0,C340-F340))</f>
        <v>520897.879896518</v>
      </c>
      <c r="H340" s="32" t="n">
        <f aca="false">IF(A340="","",IF(Inputs!$B$35="5-4-3-2-1 step-down",MAX(0,6-ROUNDUP(A340/12,0))/100,IF(Inputs!$B$35="3-2-1 step-down",MAX(0,4-ROUNDUP(A340/12,0))/100,0)))</f>
        <v>0</v>
      </c>
      <c r="I340" s="31" t="n">
        <f aca="false">IF(A340="","",G340*(1+H340))</f>
        <v>520897.879896518</v>
      </c>
    </row>
    <row r="341" customFormat="false" ht="15" hidden="false" customHeight="false" outlineLevel="0" collapsed="false">
      <c r="A341" s="33" t="n">
        <f aca="false">IF(336&gt;Sizing!$B$25,"",336)</f>
        <v>336</v>
      </c>
      <c r="B341" s="34" t="n">
        <f aca="false">IF(A341="","",EDATE(Inputs!$B$29,336-1))</f>
        <v>56554</v>
      </c>
      <c r="C341" s="35" t="n">
        <f aca="false">IF(A341="","",G340)</f>
        <v>520897.879896518</v>
      </c>
      <c r="D341" s="35" t="n">
        <f aca="false">IF(A341="","",MIN(Sizing!$B$32,C341*(1+Sizing!$B$24/12)))</f>
        <v>22511.8172418543</v>
      </c>
      <c r="E341" s="35" t="n">
        <f aca="false">IF(A341="","",C341*Sizing!$B$24/12)</f>
        <v>3147.09135770813</v>
      </c>
      <c r="F341" s="35" t="n">
        <f aca="false">IF(A341="","",D341-E341)</f>
        <v>19364.7258841462</v>
      </c>
      <c r="G341" s="35" t="n">
        <f aca="false">IF(A341="","",MAX(0,C341-F341))</f>
        <v>501533.154012371</v>
      </c>
      <c r="H341" s="36" t="n">
        <f aca="false">IF(A341="","",IF(Inputs!$B$35="5-4-3-2-1 step-down",MAX(0,6-ROUNDUP(A341/12,0))/100,IF(Inputs!$B$35="3-2-1 step-down",MAX(0,4-ROUNDUP(A341/12,0))/100,0)))</f>
        <v>0</v>
      </c>
      <c r="I341" s="35" t="n">
        <f aca="false">IF(A341="","",G341*(1+H341))</f>
        <v>501533.154012371</v>
      </c>
    </row>
    <row r="342" customFormat="false" ht="15" hidden="false" customHeight="false" outlineLevel="0" collapsed="false">
      <c r="A342" s="29" t="n">
        <f aca="false">IF(337&gt;Sizing!$B$25,"",337)</f>
        <v>337</v>
      </c>
      <c r="B342" s="30" t="n">
        <f aca="false">IF(A342="","",EDATE(Inputs!$B$29,337-1))</f>
        <v>56584</v>
      </c>
      <c r="C342" s="31" t="n">
        <f aca="false">IF(A342="","",G341)</f>
        <v>501533.154012371</v>
      </c>
      <c r="D342" s="31" t="n">
        <f aca="false">IF(A342="","",MIN(Sizing!$B$32,C342*(1+Sizing!$B$24/12)))</f>
        <v>22511.8172418543</v>
      </c>
      <c r="E342" s="31" t="n">
        <f aca="false">IF(A342="","",C342*Sizing!$B$24/12)</f>
        <v>3030.09613882474</v>
      </c>
      <c r="F342" s="31" t="n">
        <f aca="false">IF(A342="","",D342-E342)</f>
        <v>19481.7211030296</v>
      </c>
      <c r="G342" s="31" t="n">
        <f aca="false">IF(A342="","",MAX(0,C342-F342))</f>
        <v>482051.432909342</v>
      </c>
      <c r="H342" s="32" t="n">
        <f aca="false">IF(A342="","",IF(Inputs!$B$35="5-4-3-2-1 step-down",MAX(0,6-ROUNDUP(A342/12,0))/100,IF(Inputs!$B$35="3-2-1 step-down",MAX(0,4-ROUNDUP(A342/12,0))/100,0)))</f>
        <v>0</v>
      </c>
      <c r="I342" s="31" t="n">
        <f aca="false">IF(A342="","",G342*(1+H342))</f>
        <v>482051.432909342</v>
      </c>
    </row>
    <row r="343" customFormat="false" ht="15" hidden="false" customHeight="false" outlineLevel="0" collapsed="false">
      <c r="A343" s="33" t="n">
        <f aca="false">IF(338&gt;Sizing!$B$25,"",338)</f>
        <v>338</v>
      </c>
      <c r="B343" s="34" t="n">
        <f aca="false">IF(A343="","",EDATE(Inputs!$B$29,338-1))</f>
        <v>56615</v>
      </c>
      <c r="C343" s="35" t="n">
        <f aca="false">IF(A343="","",G342)</f>
        <v>482051.432909342</v>
      </c>
      <c r="D343" s="35" t="n">
        <f aca="false">IF(A343="","",MIN(Sizing!$B$32,C343*(1+Sizing!$B$24/12)))</f>
        <v>22511.8172418543</v>
      </c>
      <c r="E343" s="35" t="n">
        <f aca="false">IF(A343="","",C343*Sizing!$B$24/12)</f>
        <v>2912.39407382727</v>
      </c>
      <c r="F343" s="35" t="n">
        <f aca="false">IF(A343="","",D343-E343)</f>
        <v>19599.4231680271</v>
      </c>
      <c r="G343" s="35" t="n">
        <f aca="false">IF(A343="","",MAX(0,C343-F343))</f>
        <v>462452.009741315</v>
      </c>
      <c r="H343" s="36" t="n">
        <f aca="false">IF(A343="","",IF(Inputs!$B$35="5-4-3-2-1 step-down",MAX(0,6-ROUNDUP(A343/12,0))/100,IF(Inputs!$B$35="3-2-1 step-down",MAX(0,4-ROUNDUP(A343/12,0))/100,0)))</f>
        <v>0</v>
      </c>
      <c r="I343" s="35" t="n">
        <f aca="false">IF(A343="","",G343*(1+H343))</f>
        <v>462452.009741315</v>
      </c>
    </row>
    <row r="344" customFormat="false" ht="15" hidden="false" customHeight="false" outlineLevel="0" collapsed="false">
      <c r="A344" s="29" t="n">
        <f aca="false">IF(339&gt;Sizing!$B$25,"",339)</f>
        <v>339</v>
      </c>
      <c r="B344" s="30" t="n">
        <f aca="false">IF(A344="","",EDATE(Inputs!$B$29,339-1))</f>
        <v>56646</v>
      </c>
      <c r="C344" s="31" t="n">
        <f aca="false">IF(A344="","",G343)</f>
        <v>462452.009741315</v>
      </c>
      <c r="D344" s="31" t="n">
        <f aca="false">IF(A344="","",MIN(Sizing!$B$32,C344*(1+Sizing!$B$24/12)))</f>
        <v>22511.8172418543</v>
      </c>
      <c r="E344" s="31" t="n">
        <f aca="false">IF(A344="","",C344*Sizing!$B$24/12)</f>
        <v>2793.98089218711</v>
      </c>
      <c r="F344" s="31" t="n">
        <f aca="false">IF(A344="","",D344-E344)</f>
        <v>19717.8363496672</v>
      </c>
      <c r="G344" s="31" t="n">
        <f aca="false">IF(A344="","",MAX(0,C344-F344))</f>
        <v>442734.173391647</v>
      </c>
      <c r="H344" s="32" t="n">
        <f aca="false">IF(A344="","",IF(Inputs!$B$35="5-4-3-2-1 step-down",MAX(0,6-ROUNDUP(A344/12,0))/100,IF(Inputs!$B$35="3-2-1 step-down",MAX(0,4-ROUNDUP(A344/12,0))/100,0)))</f>
        <v>0</v>
      </c>
      <c r="I344" s="31" t="n">
        <f aca="false">IF(A344="","",G344*(1+H344))</f>
        <v>442734.173391647</v>
      </c>
    </row>
    <row r="345" customFormat="false" ht="15" hidden="false" customHeight="false" outlineLevel="0" collapsed="false">
      <c r="A345" s="33" t="n">
        <f aca="false">IF(340&gt;Sizing!$B$25,"",340)</f>
        <v>340</v>
      </c>
      <c r="B345" s="34" t="n">
        <f aca="false">IF(A345="","",EDATE(Inputs!$B$29,340-1))</f>
        <v>56674</v>
      </c>
      <c r="C345" s="35" t="n">
        <f aca="false">IF(A345="","",G344)</f>
        <v>442734.173391647</v>
      </c>
      <c r="D345" s="35" t="n">
        <f aca="false">IF(A345="","",MIN(Sizing!$B$32,C345*(1+Sizing!$B$24/12)))</f>
        <v>22511.8172418543</v>
      </c>
      <c r="E345" s="35" t="n">
        <f aca="false">IF(A345="","",C345*Sizing!$B$24/12)</f>
        <v>2674.85229757454</v>
      </c>
      <c r="F345" s="35" t="n">
        <f aca="false">IF(A345="","",D345-E345)</f>
        <v>19836.9649442798</v>
      </c>
      <c r="G345" s="35" t="n">
        <f aca="false">IF(A345="","",MAX(0,C345-F345))</f>
        <v>422897.208447368</v>
      </c>
      <c r="H345" s="36" t="n">
        <f aca="false">IF(A345="","",IF(Inputs!$B$35="5-4-3-2-1 step-down",MAX(0,6-ROUNDUP(A345/12,0))/100,IF(Inputs!$B$35="3-2-1 step-down",MAX(0,4-ROUNDUP(A345/12,0))/100,0)))</f>
        <v>0</v>
      </c>
      <c r="I345" s="35" t="n">
        <f aca="false">IF(A345="","",G345*(1+H345))</f>
        <v>422897.208447368</v>
      </c>
    </row>
    <row r="346" customFormat="false" ht="15" hidden="false" customHeight="false" outlineLevel="0" collapsed="false">
      <c r="A346" s="29" t="n">
        <f aca="false">IF(341&gt;Sizing!$B$25,"",341)</f>
        <v>341</v>
      </c>
      <c r="B346" s="30" t="n">
        <f aca="false">IF(A346="","",EDATE(Inputs!$B$29,341-1))</f>
        <v>56705</v>
      </c>
      <c r="C346" s="31" t="n">
        <f aca="false">IF(A346="","",G345)</f>
        <v>422897.208447368</v>
      </c>
      <c r="D346" s="31" t="n">
        <f aca="false">IF(A346="","",MIN(Sizing!$B$32,C346*(1+Sizing!$B$24/12)))</f>
        <v>22511.8172418543</v>
      </c>
      <c r="E346" s="31" t="n">
        <f aca="false">IF(A346="","",C346*Sizing!$B$24/12)</f>
        <v>2555.00396770285</v>
      </c>
      <c r="F346" s="31" t="n">
        <f aca="false">IF(A346="","",D346-E346)</f>
        <v>19956.8132741515</v>
      </c>
      <c r="G346" s="31" t="n">
        <f aca="false">IF(A346="","",MAX(0,C346-F346))</f>
        <v>402940.395173216</v>
      </c>
      <c r="H346" s="32" t="n">
        <f aca="false">IF(A346="","",IF(Inputs!$B$35="5-4-3-2-1 step-down",MAX(0,6-ROUNDUP(A346/12,0))/100,IF(Inputs!$B$35="3-2-1 step-down",MAX(0,4-ROUNDUP(A346/12,0))/100,0)))</f>
        <v>0</v>
      </c>
      <c r="I346" s="31" t="n">
        <f aca="false">IF(A346="","",G346*(1+H346))</f>
        <v>402940.395173216</v>
      </c>
    </row>
    <row r="347" customFormat="false" ht="15" hidden="false" customHeight="false" outlineLevel="0" collapsed="false">
      <c r="A347" s="33" t="n">
        <f aca="false">IF(342&gt;Sizing!$B$25,"",342)</f>
        <v>342</v>
      </c>
      <c r="B347" s="34" t="n">
        <f aca="false">IF(A347="","",EDATE(Inputs!$B$29,342-1))</f>
        <v>56735</v>
      </c>
      <c r="C347" s="35" t="n">
        <f aca="false">IF(A347="","",G346)</f>
        <v>402940.395173216</v>
      </c>
      <c r="D347" s="35" t="n">
        <f aca="false">IF(A347="","",MIN(Sizing!$B$32,C347*(1+Sizing!$B$24/12)))</f>
        <v>22511.8172418543</v>
      </c>
      <c r="E347" s="35" t="n">
        <f aca="false">IF(A347="","",C347*Sizing!$B$24/12)</f>
        <v>2434.43155417151</v>
      </c>
      <c r="F347" s="35" t="n">
        <f aca="false">IF(A347="","",D347-E347)</f>
        <v>20077.3856876828</v>
      </c>
      <c r="G347" s="35" t="n">
        <f aca="false">IF(A347="","",MAX(0,C347-F347))</f>
        <v>382863.009485533</v>
      </c>
      <c r="H347" s="36" t="n">
        <f aca="false">IF(A347="","",IF(Inputs!$B$35="5-4-3-2-1 step-down",MAX(0,6-ROUNDUP(A347/12,0))/100,IF(Inputs!$B$35="3-2-1 step-down",MAX(0,4-ROUNDUP(A347/12,0))/100,0)))</f>
        <v>0</v>
      </c>
      <c r="I347" s="35" t="n">
        <f aca="false">IF(A347="","",G347*(1+H347))</f>
        <v>382863.009485533</v>
      </c>
    </row>
    <row r="348" customFormat="false" ht="15" hidden="false" customHeight="false" outlineLevel="0" collapsed="false">
      <c r="A348" s="29" t="n">
        <f aca="false">IF(343&gt;Sizing!$B$25,"",343)</f>
        <v>343</v>
      </c>
      <c r="B348" s="30" t="n">
        <f aca="false">IF(A348="","",EDATE(Inputs!$B$29,343-1))</f>
        <v>56766</v>
      </c>
      <c r="C348" s="31" t="n">
        <f aca="false">IF(A348="","",G347)</f>
        <v>382863.009485533</v>
      </c>
      <c r="D348" s="31" t="n">
        <f aca="false">IF(A348="","",MIN(Sizing!$B$32,C348*(1+Sizing!$B$24/12)))</f>
        <v>22511.8172418543</v>
      </c>
      <c r="E348" s="31" t="n">
        <f aca="false">IF(A348="","",C348*Sizing!$B$24/12)</f>
        <v>2313.13068230843</v>
      </c>
      <c r="F348" s="31" t="n">
        <f aca="false">IF(A348="","",D348-E348)</f>
        <v>20198.6865595459</v>
      </c>
      <c r="G348" s="31" t="n">
        <f aca="false">IF(A348="","",MAX(0,C348-F348))</f>
        <v>362664.322925987</v>
      </c>
      <c r="H348" s="32" t="n">
        <f aca="false">IF(A348="","",IF(Inputs!$B$35="5-4-3-2-1 step-down",MAX(0,6-ROUNDUP(A348/12,0))/100,IF(Inputs!$B$35="3-2-1 step-down",MAX(0,4-ROUNDUP(A348/12,0))/100,0)))</f>
        <v>0</v>
      </c>
      <c r="I348" s="31" t="n">
        <f aca="false">IF(A348="","",G348*(1+H348))</f>
        <v>362664.322925987</v>
      </c>
    </row>
    <row r="349" customFormat="false" ht="15" hidden="false" customHeight="false" outlineLevel="0" collapsed="false">
      <c r="A349" s="33" t="n">
        <f aca="false">IF(344&gt;Sizing!$B$25,"",344)</f>
        <v>344</v>
      </c>
      <c r="B349" s="34" t="n">
        <f aca="false">IF(A349="","",EDATE(Inputs!$B$29,344-1))</f>
        <v>56796</v>
      </c>
      <c r="C349" s="35" t="n">
        <f aca="false">IF(A349="","",G348)</f>
        <v>362664.322925987</v>
      </c>
      <c r="D349" s="35" t="n">
        <f aca="false">IF(A349="","",MIN(Sizing!$B$32,C349*(1+Sizing!$B$24/12)))</f>
        <v>22511.8172418543</v>
      </c>
      <c r="E349" s="35" t="n">
        <f aca="false">IF(A349="","",C349*Sizing!$B$24/12)</f>
        <v>2191.09695101117</v>
      </c>
      <c r="F349" s="35" t="n">
        <f aca="false">IF(A349="","",D349-E349)</f>
        <v>20320.7202908432</v>
      </c>
      <c r="G349" s="35" t="n">
        <f aca="false">IF(A349="","",MAX(0,C349-F349))</f>
        <v>342343.602635144</v>
      </c>
      <c r="H349" s="36" t="n">
        <f aca="false">IF(A349="","",IF(Inputs!$B$35="5-4-3-2-1 step-down",MAX(0,6-ROUNDUP(A349/12,0))/100,IF(Inputs!$B$35="3-2-1 step-down",MAX(0,4-ROUNDUP(A349/12,0))/100,0)))</f>
        <v>0</v>
      </c>
      <c r="I349" s="35" t="n">
        <f aca="false">IF(A349="","",G349*(1+H349))</f>
        <v>342343.602635144</v>
      </c>
    </row>
    <row r="350" customFormat="false" ht="15" hidden="false" customHeight="false" outlineLevel="0" collapsed="false">
      <c r="A350" s="29" t="n">
        <f aca="false">IF(345&gt;Sizing!$B$25,"",345)</f>
        <v>345</v>
      </c>
      <c r="B350" s="30" t="n">
        <f aca="false">IF(A350="","",EDATE(Inputs!$B$29,345-1))</f>
        <v>56827</v>
      </c>
      <c r="C350" s="31" t="n">
        <f aca="false">IF(A350="","",G349)</f>
        <v>342343.602635144</v>
      </c>
      <c r="D350" s="31" t="n">
        <f aca="false">IF(A350="","",MIN(Sizing!$B$32,C350*(1+Sizing!$B$24/12)))</f>
        <v>22511.8172418543</v>
      </c>
      <c r="E350" s="31" t="n">
        <f aca="false">IF(A350="","",C350*Sizing!$B$24/12)</f>
        <v>2068.32593258733</v>
      </c>
      <c r="F350" s="31" t="n">
        <f aca="false">IF(A350="","",D350-E350)</f>
        <v>20443.491309267</v>
      </c>
      <c r="G350" s="31" t="n">
        <f aca="false">IF(A350="","",MAX(0,C350-F350))</f>
        <v>321900.111325877</v>
      </c>
      <c r="H350" s="32" t="n">
        <f aca="false">IF(A350="","",IF(Inputs!$B$35="5-4-3-2-1 step-down",MAX(0,6-ROUNDUP(A350/12,0))/100,IF(Inputs!$B$35="3-2-1 step-down",MAX(0,4-ROUNDUP(A350/12,0))/100,0)))</f>
        <v>0</v>
      </c>
      <c r="I350" s="31" t="n">
        <f aca="false">IF(A350="","",G350*(1+H350))</f>
        <v>321900.111325877</v>
      </c>
    </row>
    <row r="351" customFormat="false" ht="15" hidden="false" customHeight="false" outlineLevel="0" collapsed="false">
      <c r="A351" s="33" t="n">
        <f aca="false">IF(346&gt;Sizing!$B$25,"",346)</f>
        <v>346</v>
      </c>
      <c r="B351" s="34" t="n">
        <f aca="false">IF(A351="","",EDATE(Inputs!$B$29,346-1))</f>
        <v>56858</v>
      </c>
      <c r="C351" s="35" t="n">
        <f aca="false">IF(A351="","",G350)</f>
        <v>321900.111325877</v>
      </c>
      <c r="D351" s="35" t="n">
        <f aca="false">IF(A351="","",MIN(Sizing!$B$32,C351*(1+Sizing!$B$24/12)))</f>
        <v>22511.8172418543</v>
      </c>
      <c r="E351" s="35" t="n">
        <f aca="false">IF(A351="","",C351*Sizing!$B$24/12)</f>
        <v>1944.81317259384</v>
      </c>
      <c r="F351" s="35" t="n">
        <f aca="false">IF(A351="","",D351-E351)</f>
        <v>20567.0040692605</v>
      </c>
      <c r="G351" s="35" t="n">
        <f aca="false">IF(A351="","",MAX(0,C351-F351))</f>
        <v>301333.107256617</v>
      </c>
      <c r="H351" s="36" t="n">
        <f aca="false">IF(A351="","",IF(Inputs!$B$35="5-4-3-2-1 step-down",MAX(0,6-ROUNDUP(A351/12,0))/100,IF(Inputs!$B$35="3-2-1 step-down",MAX(0,4-ROUNDUP(A351/12,0))/100,0)))</f>
        <v>0</v>
      </c>
      <c r="I351" s="35" t="n">
        <f aca="false">IF(A351="","",G351*(1+H351))</f>
        <v>301333.107256617</v>
      </c>
    </row>
    <row r="352" customFormat="false" ht="15" hidden="false" customHeight="false" outlineLevel="0" collapsed="false">
      <c r="A352" s="29" t="n">
        <f aca="false">IF(347&gt;Sizing!$B$25,"",347)</f>
        <v>347</v>
      </c>
      <c r="B352" s="30" t="n">
        <f aca="false">IF(A352="","",EDATE(Inputs!$B$29,347-1))</f>
        <v>56888</v>
      </c>
      <c r="C352" s="31" t="n">
        <f aca="false">IF(A352="","",G351)</f>
        <v>301333.107256617</v>
      </c>
      <c r="D352" s="31" t="n">
        <f aca="false">IF(A352="","",MIN(Sizing!$B$32,C352*(1+Sizing!$B$24/12)))</f>
        <v>22511.8172418543</v>
      </c>
      <c r="E352" s="31" t="n">
        <f aca="false">IF(A352="","",C352*Sizing!$B$24/12)</f>
        <v>1820.55418967539</v>
      </c>
      <c r="F352" s="31" t="n">
        <f aca="false">IF(A352="","",D352-E352)</f>
        <v>20691.2630521789</v>
      </c>
      <c r="G352" s="31" t="n">
        <f aca="false">IF(A352="","",MAX(0,C352-F352))</f>
        <v>280641.844204438</v>
      </c>
      <c r="H352" s="32" t="n">
        <f aca="false">IF(A352="","",IF(Inputs!$B$35="5-4-3-2-1 step-down",MAX(0,6-ROUNDUP(A352/12,0))/100,IF(Inputs!$B$35="3-2-1 step-down",MAX(0,4-ROUNDUP(A352/12,0))/100,0)))</f>
        <v>0</v>
      </c>
      <c r="I352" s="31" t="n">
        <f aca="false">IF(A352="","",G352*(1+H352))</f>
        <v>280641.844204438</v>
      </c>
    </row>
    <row r="353" customFormat="false" ht="15" hidden="false" customHeight="false" outlineLevel="0" collapsed="false">
      <c r="A353" s="33" t="n">
        <f aca="false">IF(348&gt;Sizing!$B$25,"",348)</f>
        <v>348</v>
      </c>
      <c r="B353" s="34" t="n">
        <f aca="false">IF(A353="","",EDATE(Inputs!$B$29,348-1))</f>
        <v>56919</v>
      </c>
      <c r="C353" s="35" t="n">
        <f aca="false">IF(A353="","",G352)</f>
        <v>280641.844204438</v>
      </c>
      <c r="D353" s="35" t="n">
        <f aca="false">IF(A353="","",MIN(Sizing!$B$32,C353*(1+Sizing!$B$24/12)))</f>
        <v>22511.8172418543</v>
      </c>
      <c r="E353" s="35" t="n">
        <f aca="false">IF(A353="","",C353*Sizing!$B$24/12)</f>
        <v>1695.54447540181</v>
      </c>
      <c r="F353" s="35" t="n">
        <f aca="false">IF(A353="","",D353-E353)</f>
        <v>20816.2727664525</v>
      </c>
      <c r="G353" s="35" t="n">
        <f aca="false">IF(A353="","",MAX(0,C353-F353))</f>
        <v>259825.571437985</v>
      </c>
      <c r="H353" s="36" t="n">
        <f aca="false">IF(A353="","",IF(Inputs!$B$35="5-4-3-2-1 step-down",MAX(0,6-ROUNDUP(A353/12,0))/100,IF(Inputs!$B$35="3-2-1 step-down",MAX(0,4-ROUNDUP(A353/12,0))/100,0)))</f>
        <v>0</v>
      </c>
      <c r="I353" s="35" t="n">
        <f aca="false">IF(A353="","",G353*(1+H353))</f>
        <v>259825.571437985</v>
      </c>
    </row>
    <row r="354" customFormat="false" ht="15" hidden="false" customHeight="false" outlineLevel="0" collapsed="false">
      <c r="A354" s="29" t="n">
        <f aca="false">IF(349&gt;Sizing!$B$25,"",349)</f>
        <v>349</v>
      </c>
      <c r="B354" s="30" t="n">
        <f aca="false">IF(A354="","",EDATE(Inputs!$B$29,349-1))</f>
        <v>56949</v>
      </c>
      <c r="C354" s="31" t="n">
        <f aca="false">IF(A354="","",G353)</f>
        <v>259825.571437985</v>
      </c>
      <c r="D354" s="31" t="n">
        <f aca="false">IF(A354="","",MIN(Sizing!$B$32,C354*(1+Sizing!$B$24/12)))</f>
        <v>22511.8172418543</v>
      </c>
      <c r="E354" s="31" t="n">
        <f aca="false">IF(A354="","",C354*Sizing!$B$24/12)</f>
        <v>1569.77949410449</v>
      </c>
      <c r="F354" s="31" t="n">
        <f aca="false">IF(A354="","",D354-E354)</f>
        <v>20942.0377477498</v>
      </c>
      <c r="G354" s="31" t="n">
        <f aca="false">IF(A354="","",MAX(0,C354-F354))</f>
        <v>238883.533690235</v>
      </c>
      <c r="H354" s="32" t="n">
        <f aca="false">IF(A354="","",IF(Inputs!$B$35="5-4-3-2-1 step-down",MAX(0,6-ROUNDUP(A354/12,0))/100,IF(Inputs!$B$35="3-2-1 step-down",MAX(0,4-ROUNDUP(A354/12,0))/100,0)))</f>
        <v>0</v>
      </c>
      <c r="I354" s="31" t="n">
        <f aca="false">IF(A354="","",G354*(1+H354))</f>
        <v>238883.533690235</v>
      </c>
    </row>
    <row r="355" customFormat="false" ht="15" hidden="false" customHeight="false" outlineLevel="0" collapsed="false">
      <c r="A355" s="33" t="n">
        <f aca="false">IF(350&gt;Sizing!$B$25,"",350)</f>
        <v>350</v>
      </c>
      <c r="B355" s="34" t="n">
        <f aca="false">IF(A355="","",EDATE(Inputs!$B$29,350-1))</f>
        <v>56980</v>
      </c>
      <c r="C355" s="35" t="n">
        <f aca="false">IF(A355="","",G354)</f>
        <v>238883.533690235</v>
      </c>
      <c r="D355" s="35" t="n">
        <f aca="false">IF(A355="","",MIN(Sizing!$B$32,C355*(1+Sizing!$B$24/12)))</f>
        <v>22511.8172418543</v>
      </c>
      <c r="E355" s="35" t="n">
        <f aca="false">IF(A355="","",C355*Sizing!$B$24/12)</f>
        <v>1443.25468271184</v>
      </c>
      <c r="F355" s="35" t="n">
        <f aca="false">IF(A355="","",D355-E355)</f>
        <v>21068.5625591425</v>
      </c>
      <c r="G355" s="35" t="n">
        <f aca="false">IF(A355="","",MAX(0,C355-F355))</f>
        <v>217814.971131093</v>
      </c>
      <c r="H355" s="36" t="n">
        <f aca="false">IF(A355="","",IF(Inputs!$B$35="5-4-3-2-1 step-down",MAX(0,6-ROUNDUP(A355/12,0))/100,IF(Inputs!$B$35="3-2-1 step-down",MAX(0,4-ROUNDUP(A355/12,0))/100,0)))</f>
        <v>0</v>
      </c>
      <c r="I355" s="35" t="n">
        <f aca="false">IF(A355="","",G355*(1+H355))</f>
        <v>217814.971131093</v>
      </c>
    </row>
    <row r="356" customFormat="false" ht="15" hidden="false" customHeight="false" outlineLevel="0" collapsed="false">
      <c r="A356" s="29" t="n">
        <f aca="false">IF(351&gt;Sizing!$B$25,"",351)</f>
        <v>351</v>
      </c>
      <c r="B356" s="30" t="n">
        <f aca="false">IF(A356="","",EDATE(Inputs!$B$29,351-1))</f>
        <v>57011</v>
      </c>
      <c r="C356" s="31" t="n">
        <f aca="false">IF(A356="","",G355)</f>
        <v>217814.971131093</v>
      </c>
      <c r="D356" s="31" t="n">
        <f aca="false">IF(A356="","",MIN(Sizing!$B$32,C356*(1+Sizing!$B$24/12)))</f>
        <v>22511.8172418543</v>
      </c>
      <c r="E356" s="31" t="n">
        <f aca="false">IF(A356="","",C356*Sizing!$B$24/12)</f>
        <v>1315.96545058369</v>
      </c>
      <c r="F356" s="31" t="n">
        <f aca="false">IF(A356="","",D356-E356)</f>
        <v>21195.8517912706</v>
      </c>
      <c r="G356" s="31" t="n">
        <f aca="false">IF(A356="","",MAX(0,C356-F356))</f>
        <v>196619.119339822</v>
      </c>
      <c r="H356" s="32" t="n">
        <f aca="false">IF(A356="","",IF(Inputs!$B$35="5-4-3-2-1 step-down",MAX(0,6-ROUNDUP(A356/12,0))/100,IF(Inputs!$B$35="3-2-1 step-down",MAX(0,4-ROUNDUP(A356/12,0))/100,0)))</f>
        <v>0</v>
      </c>
      <c r="I356" s="31" t="n">
        <f aca="false">IF(A356="","",G356*(1+H356))</f>
        <v>196619.119339822</v>
      </c>
    </row>
    <row r="357" customFormat="false" ht="15" hidden="false" customHeight="false" outlineLevel="0" collapsed="false">
      <c r="A357" s="33" t="n">
        <f aca="false">IF(352&gt;Sizing!$B$25,"",352)</f>
        <v>352</v>
      </c>
      <c r="B357" s="34" t="n">
        <f aca="false">IF(A357="","",EDATE(Inputs!$B$29,352-1))</f>
        <v>57040</v>
      </c>
      <c r="C357" s="35" t="n">
        <f aca="false">IF(A357="","",G356)</f>
        <v>196619.119339822</v>
      </c>
      <c r="D357" s="35" t="n">
        <f aca="false">IF(A357="","",MIN(Sizing!$B$32,C357*(1+Sizing!$B$24/12)))</f>
        <v>22511.8172418543</v>
      </c>
      <c r="E357" s="35" t="n">
        <f aca="false">IF(A357="","",C357*Sizing!$B$24/12)</f>
        <v>1187.90717934476</v>
      </c>
      <c r="F357" s="35" t="n">
        <f aca="false">IF(A357="","",D357-E357)</f>
        <v>21323.9100625096</v>
      </c>
      <c r="G357" s="35" t="n">
        <f aca="false">IF(A357="","",MAX(0,C357-F357))</f>
        <v>175295.209277313</v>
      </c>
      <c r="H357" s="36" t="n">
        <f aca="false">IF(A357="","",IF(Inputs!$B$35="5-4-3-2-1 step-down",MAX(0,6-ROUNDUP(A357/12,0))/100,IF(Inputs!$B$35="3-2-1 step-down",MAX(0,4-ROUNDUP(A357/12,0))/100,0)))</f>
        <v>0</v>
      </c>
      <c r="I357" s="35" t="n">
        <f aca="false">IF(A357="","",G357*(1+H357))</f>
        <v>175295.209277313</v>
      </c>
    </row>
    <row r="358" customFormat="false" ht="15" hidden="false" customHeight="false" outlineLevel="0" collapsed="false">
      <c r="A358" s="29" t="n">
        <f aca="false">IF(353&gt;Sizing!$B$25,"",353)</f>
        <v>353</v>
      </c>
      <c r="B358" s="30" t="n">
        <f aca="false">IF(A358="","",EDATE(Inputs!$B$29,353-1))</f>
        <v>57071</v>
      </c>
      <c r="C358" s="31" t="n">
        <f aca="false">IF(A358="","",G357)</f>
        <v>175295.209277313</v>
      </c>
      <c r="D358" s="31" t="n">
        <f aca="false">IF(A358="","",MIN(Sizing!$B$32,C358*(1+Sizing!$B$24/12)))</f>
        <v>22511.8172418543</v>
      </c>
      <c r="E358" s="31" t="n">
        <f aca="false">IF(A358="","",C358*Sizing!$B$24/12)</f>
        <v>1059.0752227171</v>
      </c>
      <c r="F358" s="31" t="n">
        <f aca="false">IF(A358="","",D358-E358)</f>
        <v>21452.7420191372</v>
      </c>
      <c r="G358" s="31" t="n">
        <f aca="false">IF(A358="","",MAX(0,C358-F358))</f>
        <v>153842.467258176</v>
      </c>
      <c r="H358" s="32" t="n">
        <f aca="false">IF(A358="","",IF(Inputs!$B$35="5-4-3-2-1 step-down",MAX(0,6-ROUNDUP(A358/12,0))/100,IF(Inputs!$B$35="3-2-1 step-down",MAX(0,4-ROUNDUP(A358/12,0))/100,0)))</f>
        <v>0</v>
      </c>
      <c r="I358" s="31" t="n">
        <f aca="false">IF(A358="","",G358*(1+H358))</f>
        <v>153842.467258176</v>
      </c>
    </row>
    <row r="359" customFormat="false" ht="15" hidden="false" customHeight="false" outlineLevel="0" collapsed="false">
      <c r="A359" s="33" t="n">
        <f aca="false">IF(354&gt;Sizing!$B$25,"",354)</f>
        <v>354</v>
      </c>
      <c r="B359" s="34" t="n">
        <f aca="false">IF(A359="","",EDATE(Inputs!$B$29,354-1))</f>
        <v>57101</v>
      </c>
      <c r="C359" s="35" t="n">
        <f aca="false">IF(A359="","",G358)</f>
        <v>153842.467258176</v>
      </c>
      <c r="D359" s="35" t="n">
        <f aca="false">IF(A359="","",MIN(Sizing!$B$32,C359*(1+Sizing!$B$24/12)))</f>
        <v>22511.8172418543</v>
      </c>
      <c r="E359" s="35" t="n">
        <f aca="false">IF(A359="","",C359*Sizing!$B$24/12)</f>
        <v>929.464906351477</v>
      </c>
      <c r="F359" s="35" t="n">
        <f aca="false">IF(A359="","",D359-E359)</f>
        <v>21582.3523355029</v>
      </c>
      <c r="G359" s="35" t="n">
        <f aca="false">IF(A359="","",MAX(0,C359-F359))</f>
        <v>132260.114922673</v>
      </c>
      <c r="H359" s="36" t="n">
        <f aca="false">IF(A359="","",IF(Inputs!$B$35="5-4-3-2-1 step-down",MAX(0,6-ROUNDUP(A359/12,0))/100,IF(Inputs!$B$35="3-2-1 step-down",MAX(0,4-ROUNDUP(A359/12,0))/100,0)))</f>
        <v>0</v>
      </c>
      <c r="I359" s="35" t="n">
        <f aca="false">IF(A359="","",G359*(1+H359))</f>
        <v>132260.114922673</v>
      </c>
    </row>
    <row r="360" customFormat="false" ht="15" hidden="false" customHeight="false" outlineLevel="0" collapsed="false">
      <c r="A360" s="29" t="n">
        <f aca="false">IF(355&gt;Sizing!$B$25,"",355)</f>
        <v>355</v>
      </c>
      <c r="B360" s="30" t="n">
        <f aca="false">IF(A360="","",EDATE(Inputs!$B$29,355-1))</f>
        <v>57132</v>
      </c>
      <c r="C360" s="31" t="n">
        <f aca="false">IF(A360="","",G359)</f>
        <v>132260.114922673</v>
      </c>
      <c r="D360" s="31" t="n">
        <f aca="false">IF(A360="","",MIN(Sizing!$B$32,C360*(1+Sizing!$B$24/12)))</f>
        <v>22511.8172418543</v>
      </c>
      <c r="E360" s="31" t="n">
        <f aca="false">IF(A360="","",C360*Sizing!$B$24/12)</f>
        <v>799.071527657814</v>
      </c>
      <c r="F360" s="31" t="n">
        <f aca="false">IF(A360="","",D360-E360)</f>
        <v>21712.7457141965</v>
      </c>
      <c r="G360" s="31" t="n">
        <f aca="false">IF(A360="","",MAX(0,C360-F360))</f>
        <v>110547.369208476</v>
      </c>
      <c r="H360" s="32" t="n">
        <f aca="false">IF(A360="","",IF(Inputs!$B$35="5-4-3-2-1 step-down",MAX(0,6-ROUNDUP(A360/12,0))/100,IF(Inputs!$B$35="3-2-1 step-down",MAX(0,4-ROUNDUP(A360/12,0))/100,0)))</f>
        <v>0</v>
      </c>
      <c r="I360" s="31" t="n">
        <f aca="false">IF(A360="","",G360*(1+H360))</f>
        <v>110547.369208476</v>
      </c>
    </row>
    <row r="361" customFormat="false" ht="15" hidden="false" customHeight="false" outlineLevel="0" collapsed="false">
      <c r="A361" s="33" t="n">
        <f aca="false">IF(356&gt;Sizing!$B$25,"",356)</f>
        <v>356</v>
      </c>
      <c r="B361" s="34" t="n">
        <f aca="false">IF(A361="","",EDATE(Inputs!$B$29,356-1))</f>
        <v>57162</v>
      </c>
      <c r="C361" s="35" t="n">
        <f aca="false">IF(A361="","",G360)</f>
        <v>110547.369208476</v>
      </c>
      <c r="D361" s="35" t="n">
        <f aca="false">IF(A361="","",MIN(Sizing!$B$32,C361*(1+Sizing!$B$24/12)))</f>
        <v>22511.8172418543</v>
      </c>
      <c r="E361" s="35" t="n">
        <f aca="false">IF(A361="","",C361*Sizing!$B$24/12)</f>
        <v>667.890355634543</v>
      </c>
      <c r="F361" s="35" t="n">
        <f aca="false">IF(A361="","",D361-E361)</f>
        <v>21843.9268862198</v>
      </c>
      <c r="G361" s="35" t="n">
        <f aca="false">IF(A361="","",MAX(0,C361-F361))</f>
        <v>88703.4423222563</v>
      </c>
      <c r="H361" s="36" t="n">
        <f aca="false">IF(A361="","",IF(Inputs!$B$35="5-4-3-2-1 step-down",MAX(0,6-ROUNDUP(A361/12,0))/100,IF(Inputs!$B$35="3-2-1 step-down",MAX(0,4-ROUNDUP(A361/12,0))/100,0)))</f>
        <v>0</v>
      </c>
      <c r="I361" s="35" t="n">
        <f aca="false">IF(A361="","",G361*(1+H361))</f>
        <v>88703.4423222563</v>
      </c>
    </row>
    <row r="362" customFormat="false" ht="15" hidden="false" customHeight="false" outlineLevel="0" collapsed="false">
      <c r="A362" s="29" t="n">
        <f aca="false">IF(357&gt;Sizing!$B$25,"",357)</f>
        <v>357</v>
      </c>
      <c r="B362" s="30" t="n">
        <f aca="false">IF(A362="","",EDATE(Inputs!$B$29,357-1))</f>
        <v>57193</v>
      </c>
      <c r="C362" s="31" t="n">
        <f aca="false">IF(A362="","",G361)</f>
        <v>88703.4423222563</v>
      </c>
      <c r="D362" s="31" t="n">
        <f aca="false">IF(A362="","",MIN(Sizing!$B$32,C362*(1+Sizing!$B$24/12)))</f>
        <v>22511.8172418543</v>
      </c>
      <c r="E362" s="31" t="n">
        <f aca="false">IF(A362="","",C362*Sizing!$B$24/12)</f>
        <v>535.916630696965</v>
      </c>
      <c r="F362" s="31" t="n">
        <f aca="false">IF(A362="","",D362-E362)</f>
        <v>21975.9006111574</v>
      </c>
      <c r="G362" s="31" t="n">
        <f aca="false">IF(A362="","",MAX(0,C362-F362))</f>
        <v>66727.5417110989</v>
      </c>
      <c r="H362" s="32" t="n">
        <f aca="false">IF(A362="","",IF(Inputs!$B$35="5-4-3-2-1 step-down",MAX(0,6-ROUNDUP(A362/12,0))/100,IF(Inputs!$B$35="3-2-1 step-down",MAX(0,4-ROUNDUP(A362/12,0))/100,0)))</f>
        <v>0</v>
      </c>
      <c r="I362" s="31" t="n">
        <f aca="false">IF(A362="","",G362*(1+H362))</f>
        <v>66727.5417110989</v>
      </c>
    </row>
    <row r="363" customFormat="false" ht="15" hidden="false" customHeight="false" outlineLevel="0" collapsed="false">
      <c r="A363" s="33" t="n">
        <f aca="false">IF(358&gt;Sizing!$B$25,"",358)</f>
        <v>358</v>
      </c>
      <c r="B363" s="34" t="n">
        <f aca="false">IF(A363="","",EDATE(Inputs!$B$29,358-1))</f>
        <v>57224</v>
      </c>
      <c r="C363" s="35" t="n">
        <f aca="false">IF(A363="","",G362)</f>
        <v>66727.5417110989</v>
      </c>
      <c r="D363" s="35" t="n">
        <f aca="false">IF(A363="","",MIN(Sizing!$B$32,C363*(1+Sizing!$B$24/12)))</f>
        <v>22511.8172418543</v>
      </c>
      <c r="E363" s="35" t="n">
        <f aca="false">IF(A363="","",C363*Sizing!$B$24/12)</f>
        <v>403.145564504556</v>
      </c>
      <c r="F363" s="35" t="n">
        <f aca="false">IF(A363="","",D363-E363)</f>
        <v>22108.6716773498</v>
      </c>
      <c r="G363" s="35" t="n">
        <f aca="false">IF(A363="","",MAX(0,C363-F363))</f>
        <v>44618.8700337492</v>
      </c>
      <c r="H363" s="36" t="n">
        <f aca="false">IF(A363="","",IF(Inputs!$B$35="5-4-3-2-1 step-down",MAX(0,6-ROUNDUP(A363/12,0))/100,IF(Inputs!$B$35="3-2-1 step-down",MAX(0,4-ROUNDUP(A363/12,0))/100,0)))</f>
        <v>0</v>
      </c>
      <c r="I363" s="35" t="n">
        <f aca="false">IF(A363="","",G363*(1+H363))</f>
        <v>44618.8700337492</v>
      </c>
    </row>
    <row r="364" customFormat="false" ht="15" hidden="false" customHeight="false" outlineLevel="0" collapsed="false">
      <c r="A364" s="29" t="n">
        <f aca="false">IF(359&gt;Sizing!$B$25,"",359)</f>
        <v>359</v>
      </c>
      <c r="B364" s="30" t="n">
        <f aca="false">IF(A364="","",EDATE(Inputs!$B$29,359-1))</f>
        <v>57254</v>
      </c>
      <c r="C364" s="31" t="n">
        <f aca="false">IF(A364="","",G363)</f>
        <v>44618.8700337492</v>
      </c>
      <c r="D364" s="31" t="n">
        <f aca="false">IF(A364="","",MIN(Sizing!$B$32,C364*(1+Sizing!$B$24/12)))</f>
        <v>22511.8172418543</v>
      </c>
      <c r="E364" s="31" t="n">
        <f aca="false">IF(A364="","",C364*Sizing!$B$24/12)</f>
        <v>269.572339787235</v>
      </c>
      <c r="F364" s="31" t="n">
        <f aca="false">IF(A364="","",D364-E364)</f>
        <v>22242.2449020671</v>
      </c>
      <c r="G364" s="31" t="n">
        <f aca="false">IF(A364="","",MAX(0,C364-F364))</f>
        <v>22376.6251316821</v>
      </c>
      <c r="H364" s="32" t="n">
        <f aca="false">IF(A364="","",IF(Inputs!$B$35="5-4-3-2-1 step-down",MAX(0,6-ROUNDUP(A364/12,0))/100,IF(Inputs!$B$35="3-2-1 step-down",MAX(0,4-ROUNDUP(A364/12,0))/100,0)))</f>
        <v>0</v>
      </c>
      <c r="I364" s="31" t="n">
        <f aca="false">IF(A364="","",G364*(1+H364))</f>
        <v>22376.6251316821</v>
      </c>
    </row>
    <row r="365" customFormat="false" ht="15" hidden="false" customHeight="false" outlineLevel="0" collapsed="false">
      <c r="A365" s="33" t="n">
        <f aca="false">IF(360&gt;Sizing!$B$25,"",360)</f>
        <v>360</v>
      </c>
      <c r="B365" s="34" t="n">
        <f aca="false">IF(A365="","",EDATE(Inputs!$B$29,360-1))</f>
        <v>57285</v>
      </c>
      <c r="C365" s="35" t="n">
        <f aca="false">IF(A365="","",G364)</f>
        <v>22376.6251316821</v>
      </c>
      <c r="D365" s="35" t="n">
        <f aca="false">IF(A365="","",MIN(Sizing!$B$32,C365*(1+Sizing!$B$24/12)))</f>
        <v>22511.8172418526</v>
      </c>
      <c r="E365" s="35" t="n">
        <f aca="false">IF(A365="","",C365*Sizing!$B$24/12)</f>
        <v>135.192110170579</v>
      </c>
      <c r="F365" s="35" t="n">
        <f aca="false">IF(A365="","",D365-E365)</f>
        <v>22376.6251316821</v>
      </c>
      <c r="G365" s="35" t="n">
        <f aca="false">IF(A365="","",MAX(0,C365-F365))</f>
        <v>0</v>
      </c>
      <c r="H365" s="36" t="n">
        <f aca="false">IF(A365="","",IF(Inputs!$B$35="5-4-3-2-1 step-down",MAX(0,6-ROUNDUP(A365/12,0))/100,IF(Inputs!$B$35="3-2-1 step-down",MAX(0,4-ROUNDUP(A365/12,0))/100,0)))</f>
        <v>0</v>
      </c>
      <c r="I365" s="35" t="n">
        <f aca="false">IF(A365="","",G365*(1+H365))</f>
        <v>0</v>
      </c>
    </row>
    <row r="367" customFormat="false" ht="30" hidden="false" customHeight="true" outlineLevel="0" collapsed="false">
      <c r="A367" s="2" t="s">
        <v>39</v>
      </c>
      <c r="B367" s="2"/>
      <c r="C367" s="2"/>
      <c r="D367" s="2"/>
      <c r="E367" s="2"/>
      <c r="F367" s="2"/>
      <c r="G367" s="2"/>
      <c r="H367" s="2"/>
      <c r="I367" s="2"/>
    </row>
  </sheetData>
  <autoFilter ref="A5:I365"/>
  <mergeCells count="3">
    <mergeCell ref="A1:I1"/>
    <mergeCell ref="A3:I3"/>
    <mergeCell ref="A367:I367"/>
  </mergeCells>
  <conditionalFormatting sqref="A6:I365">
    <cfRule type="expression" priority="2" aboveAverage="0" equalAverage="0" bottom="0" percent="0" rank="0" text="" dxfId="6">
      <formula>$A6=Inputs!$B$36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2026-09-30T02:12:13Z</dcterms:created>
  <dc:creator>Capituro LLC</dc:creator>
  <dc:description/>
  <dc:language>en-US</dc:language>
  <cp:lastModifiedBy/>
  <dcterms:modified xsi:type="dcterms:W3CDTF">2026-09-29T22:12:17Z</dcterms:modified>
  <cp:revision>1</cp:revision>
  <dc:subject/>
  <dc:title>Apartment Cash-Out Refinance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