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puts" sheetId="1" state="visible" r:id="rId3"/>
    <sheet name="Summary" sheetId="2" state="visible" r:id="rId4"/>
    <sheet name="DSCR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<sst xmlns="http://schemas.openxmlformats.org/spreadsheetml/2006/main" count="103" uniqueCount="92">
  <si>
    <t xml:space="preserve">Apartment DSCR Inputs</t>
  </si>
  <si>
    <t xml:space="preserve">Yellow cells are yours. Everything else calculates. The example building is fictional.</t>
  </si>
  <si>
    <t xml:space="preserve">Property</t>
  </si>
  <si>
    <t xml:space="preserve">Property name</t>
  </si>
  <si>
    <t xml:space="preserve">Fictional Riverside Commons</t>
  </si>
  <si>
    <t xml:space="preserve">City, State</t>
  </si>
  <si>
    <t xml:space="preserve">Columbus, GA</t>
  </si>
  <si>
    <t xml:space="preserve">Legal unit count</t>
  </si>
  <si>
    <t xml:space="preserve">County record, not the rent roll.</t>
  </si>
  <si>
    <t xml:space="preserve">Purchase price or estimated value</t>
  </si>
  <si>
    <t xml:space="preserve">Income (annual)</t>
  </si>
  <si>
    <t xml:space="preserve">Gross scheduled rent</t>
  </si>
  <si>
    <t xml:space="preserve">Other income</t>
  </si>
  <si>
    <t xml:space="preserve">Vacancy and credit loss</t>
  </si>
  <si>
    <t xml:space="preserve">Lenders use 5% minimum, even on a full building.</t>
  </si>
  <si>
    <t xml:space="preserve">Operating expenses (annual)</t>
  </si>
  <si>
    <t xml:space="preserve">Property taxes</t>
  </si>
  <si>
    <t xml:space="preserve">The bill after your purchase, not the seller's.</t>
  </si>
  <si>
    <t xml:space="preserve">Insurance</t>
  </si>
  <si>
    <t xml:space="preserve">Repairs and maintenance</t>
  </si>
  <si>
    <t xml:space="preserve">Property management</t>
  </si>
  <si>
    <t xml:space="preserve">Lenders assume 4% to 5% even if you self-manage.</t>
  </si>
  <si>
    <t xml:space="preserve">Utilities paid by owner</t>
  </si>
  <si>
    <t xml:space="preserve">Other expenses</t>
  </si>
  <si>
    <t xml:space="preserve">Replacement reserves per unit</t>
  </si>
  <si>
    <t xml:space="preserve">Deducted whether you spend it or not.</t>
  </si>
  <si>
    <t xml:space="preserve">The loan you are testing</t>
  </si>
  <si>
    <t xml:space="preserve">Loan amount requested</t>
  </si>
  <si>
    <t xml:space="preserve">Interest rate (annual)</t>
  </si>
  <si>
    <t xml:space="preserve">The rate you want to test. This one is a placeholder.</t>
  </si>
  <si>
    <t xml:space="preserve">Amortization (years)</t>
  </si>
  <si>
    <t xml:space="preserve">Interest-only period requested</t>
  </si>
  <si>
    <t xml:space="preserve">No</t>
  </si>
  <si>
    <t xml:space="preserve">Some 10+ unit programs offer up to 10 years.</t>
  </si>
  <si>
    <t xml:space="preserve">Minimum DSCR the lender requires</t>
  </si>
  <si>
    <t xml:space="preserve">1.20x to 1.25x at most banks. Lower on some investor programs.</t>
  </si>
  <si>
    <t xml:space="preserve">Built by Capituro. The rate is yours, not a quote. Send the rent roll for a real one: capituro.com/contact</t>
  </si>
  <si>
    <t xml:space="preserve">Apartment DSCR Calculator</t>
  </si>
  <si>
    <t xml:space="preserve">Change the Inputs sheet and this updates. The example building is fictional.</t>
  </si>
  <si>
    <t xml:space="preserve">The building</t>
  </si>
  <si>
    <t xml:space="preserve">The loan</t>
  </si>
  <si>
    <t xml:space="preserve">Loan requested</t>
  </si>
  <si>
    <t xml:space="preserve">Location</t>
  </si>
  <si>
    <t xml:space="preserve">Monthly payment</t>
  </si>
  <si>
    <t xml:space="preserve">Units</t>
  </si>
  <si>
    <t xml:space="preserve">DSCR</t>
  </si>
  <si>
    <t xml:space="preserve">Price or value</t>
  </si>
  <si>
    <t xml:space="preserve">Minimum required</t>
  </si>
  <si>
    <t xml:space="preserve">Effective gross income</t>
  </si>
  <si>
    <t xml:space="preserve">Clears the minimum?</t>
  </si>
  <si>
    <t xml:space="preserve">Net operating income</t>
  </si>
  <si>
    <t xml:space="preserve">Maximum loan at the minimum</t>
  </si>
  <si>
    <t xml:space="preserve">Break-even occupancy</t>
  </si>
  <si>
    <t xml:space="preserve">Cushion or shortfall</t>
  </si>
  <si>
    <t xml:space="preserve">Chart data</t>
  </si>
  <si>
    <t xml:space="preserve">Loan the NOI supports</t>
  </si>
  <si>
    <t xml:space="preserve">Debt Service Coverage</t>
  </si>
  <si>
    <t xml:space="preserve">NOI against the payment on the loan you are testing, and the loan the NOI actually supports.</t>
  </si>
  <si>
    <t xml:space="preserve">Less vacancy and credit loss</t>
  </si>
  <si>
    <t xml:space="preserve">Operating expenses</t>
  </si>
  <si>
    <t xml:space="preserve">Replacement reserves</t>
  </si>
  <si>
    <t xml:space="preserve">Net operating income (NOI)</t>
  </si>
  <si>
    <t xml:space="preserve">Expense ratio</t>
  </si>
  <si>
    <t xml:space="preserve">Loan amount</t>
  </si>
  <si>
    <t xml:space="preserve">Loan-to-value</t>
  </si>
  <si>
    <t xml:space="preserve">Interest rate</t>
  </si>
  <si>
    <t xml:space="preserve">Amortization (months)</t>
  </si>
  <si>
    <t xml:space="preserve">Monthly payment, amortizing</t>
  </si>
  <si>
    <t xml:space="preserve">Monthly payment, interest-only</t>
  </si>
  <si>
    <t xml:space="preserve">Annual debt service used</t>
  </si>
  <si>
    <t xml:space="preserve">Most lenders test DSCR on the amortizing payment even during an interest-only period.</t>
  </si>
  <si>
    <t xml:space="preserve">Coverage</t>
  </si>
  <si>
    <t xml:space="preserve">DSCR on the amortizing payment</t>
  </si>
  <si>
    <t xml:space="preserve">DSCR on the interest-only payment</t>
  </si>
  <si>
    <t xml:space="preserve">Minimum DSCR required</t>
  </si>
  <si>
    <t xml:space="preserve">Does the loan clear it?</t>
  </si>
  <si>
    <t xml:space="preserve">Occupancy at which NOI just covers the payment.</t>
  </si>
  <si>
    <t xml:space="preserve">The loan the NOI supports</t>
  </si>
  <si>
    <t xml:space="preserve">Annual debt service allowed at minimum DSCR</t>
  </si>
  <si>
    <t xml:space="preserve">Maximum loan, amortizing</t>
  </si>
  <si>
    <t xml:space="preserve">Maximum loan, interest-only</t>
  </si>
  <si>
    <t xml:space="preserve">Cushion or shortfall against the request</t>
  </si>
  <si>
    <t xml:space="preserve">Negative means the request is too large for the income at this rate.</t>
  </si>
  <si>
    <t xml:space="preserve">Rate at which the request just clears</t>
  </si>
  <si>
    <t xml:space="preserve">Above this rate the loan has to shrink.</t>
  </si>
  <si>
    <t xml:space="preserve">Rate sensitivity</t>
  </si>
  <si>
    <t xml:space="preserve">Rate</t>
  </si>
  <si>
    <t xml:space="preserve">DSCR on request</t>
  </si>
  <si>
    <t xml:space="preserve">Maximum loan</t>
  </si>
  <si>
    <t xml:space="preserve">Vacancy stress on the requested loan</t>
  </si>
  <si>
    <t xml:space="preserve">Vacancy</t>
  </si>
  <si>
    <t xml:space="preserve">NOI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</si>
</sst>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0"/>
    <numFmt numFmtId="166" formatCode="\$#,##0;[RED]&quot;-$&quot;#,##0"/>
    <numFmt numFmtId="167" formatCode="0.00%"/>
    <numFmt numFmtId="168" formatCode="0.00\x"/>
    <numFmt numFmtId="169" formatCode="\$#,##0.00;[RED]&quot;-$&quot;#,##0.00"/>
    <numFmt numFmtId="170" formatCode="\$#,##0"/>
    <numFmt numFmtId="171" formatCode="0%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FFFFFF"/>
      <name val="Georgia"/>
      <family val="0"/>
      <charset val="1"/>
    </font>
    <font>
      <i val="true"/>
      <sz val="9"/>
      <color rgb="FF465470"/>
      <name val="Georgia"/>
      <family val="0"/>
      <charset val="1"/>
    </font>
    <font>
      <b val="true"/>
      <sz val="10"/>
      <color rgb="FFFFFFFF"/>
      <name val="Georgia"/>
      <family val="0"/>
      <charset val="1"/>
    </font>
    <font>
      <b val="true"/>
      <sz val="10"/>
      <color rgb="FF0A1428"/>
      <name val="Georgia"/>
      <family val="0"/>
      <charset val="1"/>
    </font>
    <font>
      <sz val="10"/>
      <color rgb="FF0A1428"/>
      <name val="Georgia"/>
      <family val="0"/>
      <charset val="1"/>
    </font>
    <font>
      <b val="true"/>
      <sz val="12"/>
      <color rgb="FF0A1428"/>
      <name val="Georgia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0A1428"/>
        <bgColor rgb="FF000000"/>
      </patternFill>
    </fill>
    <fill>
      <patternFill patternType="solid">
        <fgColor rgb="FF2B3A55"/>
        <bgColor rgb="FF333399"/>
      </patternFill>
    </fill>
    <fill>
      <patternFill patternType="solid">
        <fgColor rgb="FFF6F7F8"/>
        <bgColor rgb="FFF9F9F9"/>
      </patternFill>
    </fill>
    <fill>
      <patternFill patternType="solid">
        <fgColor rgb="FFFFF4DD"/>
        <bgColor rgb="FFEEF7DC"/>
      </patternFill>
    </fill>
    <fill>
      <patternFill patternType="solid">
        <fgColor rgb="FFFFFFFF"/>
        <bgColor rgb="FFF9F9F9"/>
      </patternFill>
    </fill>
    <fill>
      <patternFill patternType="solid">
        <fgColor rgb="FFEEF7DC"/>
        <bgColor rgb="FFFFF4DD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FE2E8"/>
      </left>
      <right style="thin">
        <color rgb="FFDFE2E8"/>
      </right>
      <top style="thin">
        <color rgb="FFDFE2E8"/>
      </top>
      <bottom style="thin">
        <color rgb="FFDFE2E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3" borderId="0" xfId="0" applyFont="true" applyBorder="false" applyAlignment="true" applyProtection="false">
      <alignment horizontal="general" vertical="center" textRotation="0" wrapText="false" indent="1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4" borderId="1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8" fillId="5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8" fillId="5" borderId="1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6" fontId="8" fillId="5" borderId="1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7" fontId="8" fillId="5" borderId="1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8" fontId="8" fillId="5" borderId="1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8" fillId="6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6" fontId="8" fillId="6" borderId="1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9" fontId="8" fillId="6" borderId="1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5" fontId="8" fillId="6" borderId="1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8" fontId="9" fillId="7" borderId="1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8" fontId="8" fillId="6" borderId="1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6" fontId="9" fillId="7" borderId="1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7" fontId="8" fillId="6" borderId="1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8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8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8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8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8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8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1" fontId="8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1" fontId="8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FE2E8"/>
      <rgbColor rgb="FF878787"/>
      <rgbColor rgb="FF9999FF"/>
      <rgbColor rgb="FF993366"/>
      <rgbColor rgb="FFFFF4DD"/>
      <rgbColor rgb="FFF6F7F8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9F9F9"/>
      <rgbColor rgb="FFEEF7DC"/>
      <rgbColor rgb="FFFFFF99"/>
      <rgbColor rgb="FF99CCFF"/>
      <rgbColor rgb="FFFF99CC"/>
      <rgbColor rgb="FFCC99FF"/>
      <rgbColor rgb="FFFFCC99"/>
      <rgbColor rgb="FF3366FF"/>
      <rgbColor rgb="FF33CCCC"/>
      <rgbColor rgb="FF8DC63F"/>
      <rgbColor rgb="FFFFCC00"/>
      <rgbColor rgb="FFFF9900"/>
      <rgbColor rgb="FFFF6600"/>
      <rgbColor rgb="FF465470"/>
      <rgbColor rgb="FF969696"/>
      <rgbColor rgb="FF003366"/>
      <rgbColor rgb="FF339966"/>
      <rgbColor rgb="FF0A1428"/>
      <rgbColor rgb="FF333300"/>
      <rgbColor rgb="FF993300"/>
      <rgbColor rgb="FF993366"/>
      <rgbColor rgb="FF333399"/>
      <rgbColor rgb="FF2B3A55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Request against what the income supports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spPr>
            <a:solidFill>
              <a:srgbClr val="8dc63f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Summary!$A$15:$A$16</c:f>
              <c:strCache>
                <c:ptCount val="2"/>
                <c:pt idx="0">
                  <c:v>Loan requested</c:v>
                </c:pt>
                <c:pt idx="1">
                  <c:v>Loan the NOI supports</c:v>
                </c:pt>
              </c:strCache>
            </c:strRef>
          </c:cat>
          <c:val>
            <c:numRef>
              <c:f>Summary!$B$15:$B$16</c:f>
              <c:numCache>
                <c:formatCode>\$#,##0;[RED]"-$"#,##0</c:formatCode>
                <c:ptCount val="2"/>
                <c:pt idx="0">
                  <c:v>3400000</c:v>
                </c:pt>
                <c:pt idx="1">
                  <c:v>3284000</c:v>
                </c:pt>
              </c:numCache>
            </c:numRef>
          </c:val>
        </c:ser>
        <c:gapWidth val="150"/>
        <c:overlap val="0"/>
        <c:axId val="55958567"/>
        <c:axId val="58459298"/>
      </c:barChart>
      <c:catAx>
        <c:axId val="5595856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8459298"/>
        <c:crosses val="autoZero"/>
        <c:auto val="1"/>
        <c:lblAlgn val="ctr"/>
        <c:lblOffset val="100"/>
        <c:noMultiLvlLbl val="0"/>
      </c:catAx>
      <c:valAx>
        <c:axId val="58459298"/>
        <c:scaling>
          <c:orientation val="minMax"/>
          <c:min val="0"/>
        </c:scaling>
        <c:delete val="0"/>
        <c:axPos val="l"/>
        <c:numFmt formatCode="\$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5958567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</xdr:col>
      <xdr:colOff>0</xdr:colOff>
      <xdr:row>13</xdr:row>
      <xdr:rowOff>0</xdr:rowOff>
    </xdr:from>
    <xdr:to>
      <xdr:col>7</xdr:col>
      <xdr:colOff>254160</xdr:colOff>
      <xdr:row>24</xdr:row>
      <xdr:rowOff>6840</xdr:rowOff>
    </xdr:to>
    <xdr:graphicFrame>
      <xdr:nvGraphicFramePr>
        <xdr:cNvPr id="0" name="Chart 1"/>
        <xdr:cNvGraphicFramePr/>
      </xdr:nvGraphicFramePr>
      <xdr:xfrm>
        <a:off x="5004360" y="3181320"/>
        <a:ext cx="5399640" cy="215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3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36"/>
    <col collapsed="false" customWidth="true" hidden="false" outlineLevel="0" max="3" min="3" style="0" width="48"/>
  </cols>
  <sheetData>
    <row r="1" customFormat="false" ht="30" hidden="false" customHeight="true" outlineLevel="0" collapsed="false">
      <c r="A1" s="1" t="s">
        <v>0</v>
      </c>
      <c r="B1" s="1"/>
      <c r="C1" s="1"/>
    </row>
    <row r="3" customFormat="false" ht="30" hidden="false" customHeight="true" outlineLevel="0" collapsed="false">
      <c r="A3" s="2" t="s">
        <v>1</v>
      </c>
      <c r="B3" s="2"/>
      <c r="C3" s="2"/>
    </row>
    <row r="5" customFormat="false" ht="19.5" hidden="false" customHeight="true" outlineLevel="0" collapsed="false">
      <c r="A5" s="3" t="s">
        <v>2</v>
      </c>
      <c r="B5" s="4"/>
      <c r="C5" s="4"/>
    </row>
    <row r="6" customFormat="false" ht="18" hidden="false" customHeight="true" outlineLevel="0" collapsed="false">
      <c r="A6" s="5" t="s">
        <v>3</v>
      </c>
      <c r="B6" s="6" t="s">
        <v>4</v>
      </c>
    </row>
    <row r="7" customFormat="false" ht="18" hidden="false" customHeight="true" outlineLevel="0" collapsed="false">
      <c r="A7" s="5" t="s">
        <v>5</v>
      </c>
      <c r="B7" s="6" t="s">
        <v>6</v>
      </c>
    </row>
    <row r="8" customFormat="false" ht="18" hidden="false" customHeight="true" outlineLevel="0" collapsed="false">
      <c r="A8" s="5" t="s">
        <v>7</v>
      </c>
      <c r="B8" s="7" t="n">
        <v>40</v>
      </c>
      <c r="C8" s="8" t="s">
        <v>8</v>
      </c>
    </row>
    <row r="9" customFormat="false" ht="18" hidden="false" customHeight="true" outlineLevel="0" collapsed="false">
      <c r="A9" s="5" t="s">
        <v>9</v>
      </c>
      <c r="B9" s="9" t="n">
        <v>4600000</v>
      </c>
    </row>
    <row r="11" customFormat="false" ht="19.5" hidden="false" customHeight="true" outlineLevel="0" collapsed="false">
      <c r="A11" s="3" t="s">
        <v>10</v>
      </c>
      <c r="B11" s="4"/>
      <c r="C11" s="4"/>
    </row>
    <row r="12" customFormat="false" ht="18" hidden="false" customHeight="true" outlineLevel="0" collapsed="false">
      <c r="A12" s="5" t="s">
        <v>11</v>
      </c>
      <c r="B12" s="9" t="n">
        <v>528000</v>
      </c>
    </row>
    <row r="13" customFormat="false" ht="18" hidden="false" customHeight="true" outlineLevel="0" collapsed="false">
      <c r="A13" s="5" t="s">
        <v>12</v>
      </c>
      <c r="B13" s="9" t="n">
        <v>18000</v>
      </c>
    </row>
    <row r="14" customFormat="false" ht="18" hidden="false" customHeight="true" outlineLevel="0" collapsed="false">
      <c r="A14" s="5" t="s">
        <v>13</v>
      </c>
      <c r="B14" s="10" t="n">
        <v>0.05</v>
      </c>
      <c r="C14" s="8" t="s">
        <v>14</v>
      </c>
    </row>
    <row r="16" customFormat="false" ht="19.5" hidden="false" customHeight="true" outlineLevel="0" collapsed="false">
      <c r="A16" s="3" t="s">
        <v>15</v>
      </c>
      <c r="B16" s="4"/>
      <c r="C16" s="4"/>
    </row>
    <row r="17" customFormat="false" ht="18" hidden="false" customHeight="true" outlineLevel="0" collapsed="false">
      <c r="A17" s="5" t="s">
        <v>16</v>
      </c>
      <c r="B17" s="9" t="n">
        <v>48000</v>
      </c>
      <c r="C17" s="8" t="s">
        <v>17</v>
      </c>
    </row>
    <row r="18" customFormat="false" ht="18" hidden="false" customHeight="true" outlineLevel="0" collapsed="false">
      <c r="A18" s="5" t="s">
        <v>18</v>
      </c>
      <c r="B18" s="9" t="n">
        <v>36000</v>
      </c>
    </row>
    <row r="19" customFormat="false" ht="18" hidden="false" customHeight="true" outlineLevel="0" collapsed="false">
      <c r="A19" s="5" t="s">
        <v>19</v>
      </c>
      <c r="B19" s="9" t="n">
        <v>40000</v>
      </c>
    </row>
    <row r="20" customFormat="false" ht="18" hidden="false" customHeight="true" outlineLevel="0" collapsed="false">
      <c r="A20" s="5" t="s">
        <v>20</v>
      </c>
      <c r="B20" s="9" t="n">
        <v>26000</v>
      </c>
      <c r="C20" s="8" t="s">
        <v>21</v>
      </c>
    </row>
    <row r="21" customFormat="false" ht="18" hidden="false" customHeight="true" outlineLevel="0" collapsed="false">
      <c r="A21" s="5" t="s">
        <v>22</v>
      </c>
      <c r="B21" s="9" t="n">
        <v>30000</v>
      </c>
    </row>
    <row r="22" customFormat="false" ht="18" hidden="false" customHeight="true" outlineLevel="0" collapsed="false">
      <c r="A22" s="5" t="s">
        <v>23</v>
      </c>
      <c r="B22" s="9" t="n">
        <v>14000</v>
      </c>
    </row>
    <row r="23" customFormat="false" ht="18" hidden="false" customHeight="true" outlineLevel="0" collapsed="false">
      <c r="A23" s="5" t="s">
        <v>24</v>
      </c>
      <c r="B23" s="9" t="n">
        <v>250</v>
      </c>
      <c r="C23" s="8" t="s">
        <v>25</v>
      </c>
    </row>
    <row r="25" customFormat="false" ht="19.5" hidden="false" customHeight="true" outlineLevel="0" collapsed="false">
      <c r="A25" s="3" t="s">
        <v>26</v>
      </c>
      <c r="B25" s="4"/>
      <c r="C25" s="4"/>
    </row>
    <row r="26" customFormat="false" ht="18" hidden="false" customHeight="true" outlineLevel="0" collapsed="false">
      <c r="A26" s="5" t="s">
        <v>27</v>
      </c>
      <c r="B26" s="9" t="n">
        <v>3400000</v>
      </c>
    </row>
    <row r="27" customFormat="false" ht="18" hidden="false" customHeight="true" outlineLevel="0" collapsed="false">
      <c r="A27" s="5" t="s">
        <v>28</v>
      </c>
      <c r="B27" s="10" t="n">
        <v>0.07</v>
      </c>
      <c r="C27" s="8" t="s">
        <v>29</v>
      </c>
    </row>
    <row r="28" customFormat="false" ht="18" hidden="false" customHeight="true" outlineLevel="0" collapsed="false">
      <c r="A28" s="5" t="s">
        <v>30</v>
      </c>
      <c r="B28" s="7" t="n">
        <v>30</v>
      </c>
    </row>
    <row r="29" customFormat="false" ht="18" hidden="false" customHeight="true" outlineLevel="0" collapsed="false">
      <c r="A29" s="5" t="s">
        <v>31</v>
      </c>
      <c r="B29" s="6" t="s">
        <v>32</v>
      </c>
      <c r="C29" s="8" t="s">
        <v>33</v>
      </c>
    </row>
    <row r="30" customFormat="false" ht="18" hidden="false" customHeight="true" outlineLevel="0" collapsed="false">
      <c r="A30" s="5" t="s">
        <v>34</v>
      </c>
      <c r="B30" s="11" t="n">
        <v>1.2</v>
      </c>
      <c r="C30" s="8" t="s">
        <v>35</v>
      </c>
    </row>
    <row r="32" customFormat="false" ht="30" hidden="false" customHeight="true" outlineLevel="0" collapsed="false">
      <c r="A32" s="2" t="s">
        <v>36</v>
      </c>
      <c r="B32" s="2"/>
      <c r="C32" s="2"/>
    </row>
  </sheetData>
  <mergeCells count="3">
    <mergeCell ref="A1:C1"/>
    <mergeCell ref="A3:C3"/>
    <mergeCell ref="A32:C32"/>
  </mergeCells>
  <dataValidations count="3">
    <dataValidation allowBlank="false" errorStyle="stop" operator="between" showDropDown="false" showErrorMessage="false" showInputMessage="false" sqref="B29" type="list">
      <formula1>"No,Yes"</formula1>
      <formula2>0</formula2>
    </dataValidation>
    <dataValidation allowBlank="false" errorStyle="stop" operator="between" showDropDown="false" showErrorMessage="false" showInputMessage="false" sqref="B28" type="whole">
      <formula1>5</formula1>
      <formula2>40</formula2>
    </dataValidation>
    <dataValidation allowBlank="false" errorStyle="stop" operator="between" showDropDown="false" showErrorMessage="false" showInputMessage="false" sqref="B27" type="decimal">
      <formula1>0.01</formula1>
      <formula2>0.25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2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38"/>
    <col collapsed="false" customWidth="true" hidden="false" outlineLevel="0" max="3" min="3" style="0" width="3"/>
    <col collapsed="false" customWidth="true" hidden="false" outlineLevel="0" max="4" min="4" style="0" width="34"/>
    <col collapsed="false" customWidth="true" hidden="false" outlineLevel="0" max="5" min="5" style="0" width="22"/>
    <col collapsed="false" customWidth="true" hidden="false" outlineLevel="0" max="6" min="6" style="0" width="3"/>
    <col collapsed="false" customWidth="true" hidden="false" outlineLevel="0" max="8" min="7" style="0" width="14"/>
  </cols>
  <sheetData>
    <row r="1" customFormat="false" ht="30" hidden="false" customHeight="true" outlineLevel="0" collapsed="false">
      <c r="A1" s="1" t="s">
        <v>37</v>
      </c>
      <c r="B1" s="1"/>
      <c r="C1" s="1"/>
      <c r="D1" s="1"/>
      <c r="E1" s="1"/>
      <c r="F1" s="1"/>
      <c r="G1" s="1"/>
      <c r="H1" s="1"/>
    </row>
    <row r="3" customFormat="false" ht="30" hidden="false" customHeight="true" outlineLevel="0" collapsed="false">
      <c r="A3" s="2" t="s">
        <v>38</v>
      </c>
      <c r="B3" s="2"/>
      <c r="C3" s="2"/>
      <c r="D3" s="2"/>
      <c r="E3" s="2"/>
      <c r="F3" s="2"/>
      <c r="G3" s="2"/>
      <c r="H3" s="2"/>
    </row>
    <row r="5" customFormat="false" ht="19.5" hidden="false" customHeight="true" outlineLevel="0" collapsed="false">
      <c r="A5" s="3" t="s">
        <v>39</v>
      </c>
      <c r="B5" s="4"/>
      <c r="D5" s="3" t="s">
        <v>40</v>
      </c>
      <c r="E5" s="4"/>
    </row>
    <row r="6" customFormat="false" ht="18" hidden="false" customHeight="true" outlineLevel="0" collapsed="false">
      <c r="A6" s="5" t="s">
        <v>2</v>
      </c>
      <c r="B6" s="12" t="str">
        <f aca="false">Inputs!$B$6</f>
        <v>Fictional Riverside Commons</v>
      </c>
      <c r="D6" s="5" t="s">
        <v>41</v>
      </c>
      <c r="E6" s="13" t="n">
        <f aca="false">DSCR!B16</f>
        <v>3400000</v>
      </c>
    </row>
    <row r="7" customFormat="false" ht="18" hidden="false" customHeight="true" outlineLevel="0" collapsed="false">
      <c r="A7" s="5" t="s">
        <v>42</v>
      </c>
      <c r="B7" s="12" t="str">
        <f aca="false">Inputs!$B$7</f>
        <v>Columbus, GA</v>
      </c>
      <c r="D7" s="5" t="s">
        <v>43</v>
      </c>
      <c r="E7" s="14" t="n">
        <f aca="false">DSCR!B20</f>
        <v>22620.2848360922</v>
      </c>
    </row>
    <row r="8" customFormat="false" ht="18" hidden="false" customHeight="true" outlineLevel="0" collapsed="false">
      <c r="A8" s="5" t="s">
        <v>44</v>
      </c>
      <c r="B8" s="15" t="n">
        <f aca="false">Inputs!$B$8</f>
        <v>40</v>
      </c>
      <c r="D8" s="5" t="s">
        <v>45</v>
      </c>
      <c r="E8" s="16" t="n">
        <f aca="false">DSCR!B25</f>
        <v>1.15935763806812</v>
      </c>
    </row>
    <row r="9" customFormat="false" ht="18" hidden="false" customHeight="true" outlineLevel="0" collapsed="false">
      <c r="A9" s="5" t="s">
        <v>46</v>
      </c>
      <c r="B9" s="13" t="n">
        <f aca="false">Inputs!$B$9</f>
        <v>4600000</v>
      </c>
      <c r="D9" s="5" t="s">
        <v>47</v>
      </c>
      <c r="E9" s="17" t="n">
        <f aca="false">DSCR!B27</f>
        <v>1.2</v>
      </c>
    </row>
    <row r="10" customFormat="false" ht="18" hidden="false" customHeight="true" outlineLevel="0" collapsed="false">
      <c r="A10" s="5" t="s">
        <v>48</v>
      </c>
      <c r="B10" s="13" t="n">
        <f aca="false">DSCR!B9</f>
        <v>518700</v>
      </c>
      <c r="D10" s="5" t="s">
        <v>49</v>
      </c>
      <c r="E10" s="12" t="str">
        <f aca="false">DSCR!B28</f>
        <v>No</v>
      </c>
    </row>
    <row r="11" customFormat="false" ht="18" hidden="false" customHeight="true" outlineLevel="0" collapsed="false">
      <c r="A11" s="5" t="s">
        <v>50</v>
      </c>
      <c r="B11" s="18" t="n">
        <f aca="false">DSCR!B12</f>
        <v>314700</v>
      </c>
      <c r="D11" s="5" t="s">
        <v>51</v>
      </c>
      <c r="E11" s="13" t="n">
        <f aca="false">DSCR!B33</f>
        <v>3284000</v>
      </c>
    </row>
    <row r="12" customFormat="false" ht="18" hidden="false" customHeight="true" outlineLevel="0" collapsed="false">
      <c r="A12" s="5" t="s">
        <v>52</v>
      </c>
      <c r="B12" s="19" t="n">
        <f aca="false">DSCR!B29</f>
        <v>0.870775490903126</v>
      </c>
      <c r="D12" s="5" t="s">
        <v>53</v>
      </c>
      <c r="E12" s="18" t="n">
        <f aca="false">DSCR!B35</f>
        <v>-116000</v>
      </c>
    </row>
    <row r="14" customFormat="false" ht="19.5" hidden="false" customHeight="true" outlineLevel="0" collapsed="false">
      <c r="A14" s="3" t="s">
        <v>54</v>
      </c>
      <c r="B14" s="4"/>
    </row>
    <row r="15" customFormat="false" ht="15" hidden="false" customHeight="false" outlineLevel="0" collapsed="false">
      <c r="A15" s="20" t="s">
        <v>41</v>
      </c>
      <c r="B15" s="21" t="n">
        <f aca="false">DSCR!B16</f>
        <v>3400000</v>
      </c>
    </row>
    <row r="16" customFormat="false" ht="15" hidden="false" customHeight="false" outlineLevel="0" collapsed="false">
      <c r="A16" s="20" t="s">
        <v>55</v>
      </c>
      <c r="B16" s="21" t="n">
        <f aca="false">DSCR!B33</f>
        <v>3284000</v>
      </c>
    </row>
    <row r="27" customFormat="false" ht="30" hidden="false" customHeight="true" outlineLevel="0" collapsed="false">
      <c r="A27" s="2" t="s">
        <v>36</v>
      </c>
      <c r="B27" s="2"/>
      <c r="C27" s="2"/>
      <c r="D27" s="2"/>
      <c r="E27" s="2"/>
    </row>
  </sheetData>
  <mergeCells count="3">
    <mergeCell ref="A1:H1"/>
    <mergeCell ref="A3:H3"/>
    <mergeCell ref="A27:E2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5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8"/>
    <col collapsed="false" customWidth="true" hidden="false" outlineLevel="0" max="2" min="2" style="0" width="20"/>
    <col collapsed="false" customWidth="true" hidden="false" outlineLevel="0" max="3" min="3" style="0" width="16"/>
    <col collapsed="false" customWidth="true" hidden="false" outlineLevel="0" max="4" min="4" style="0" width="56"/>
  </cols>
  <sheetData>
    <row r="1" customFormat="false" ht="30" hidden="false" customHeight="true" outlineLevel="0" collapsed="false">
      <c r="A1" s="1" t="s">
        <v>56</v>
      </c>
      <c r="B1" s="1"/>
      <c r="C1" s="1"/>
      <c r="D1" s="1"/>
    </row>
    <row r="3" customFormat="false" ht="30" hidden="false" customHeight="true" outlineLevel="0" collapsed="false">
      <c r="A3" s="2" t="s">
        <v>57</v>
      </c>
      <c r="B3" s="2"/>
      <c r="C3" s="2"/>
      <c r="D3" s="2"/>
    </row>
    <row r="5" customFormat="false" ht="19.5" hidden="false" customHeight="true" outlineLevel="0" collapsed="false">
      <c r="A5" s="3" t="s">
        <v>50</v>
      </c>
      <c r="B5" s="4"/>
      <c r="C5" s="4"/>
      <c r="D5" s="4"/>
    </row>
    <row r="6" customFormat="false" ht="18" hidden="false" customHeight="true" outlineLevel="0" collapsed="false">
      <c r="A6" s="5" t="s">
        <v>11</v>
      </c>
      <c r="B6" s="13" t="n">
        <f aca="false">Inputs!$B$12</f>
        <v>528000</v>
      </c>
    </row>
    <row r="7" customFormat="false" ht="18" hidden="false" customHeight="true" outlineLevel="0" collapsed="false">
      <c r="A7" s="5" t="s">
        <v>12</v>
      </c>
      <c r="B7" s="13" t="n">
        <f aca="false">Inputs!$B$13</f>
        <v>18000</v>
      </c>
    </row>
    <row r="8" customFormat="false" ht="18" hidden="false" customHeight="true" outlineLevel="0" collapsed="false">
      <c r="A8" s="5" t="s">
        <v>58</v>
      </c>
      <c r="B8" s="13" t="n">
        <f aca="false">-(B6+B7)*Inputs!$B$14</f>
        <v>-27300</v>
      </c>
    </row>
    <row r="9" customFormat="false" ht="18" hidden="false" customHeight="true" outlineLevel="0" collapsed="false">
      <c r="A9" s="5" t="s">
        <v>48</v>
      </c>
      <c r="B9" s="13" t="n">
        <f aca="false">SUM(B6:B8)</f>
        <v>518700</v>
      </c>
    </row>
    <row r="10" customFormat="false" ht="18" hidden="false" customHeight="true" outlineLevel="0" collapsed="false">
      <c r="A10" s="5" t="s">
        <v>59</v>
      </c>
      <c r="B10" s="13" t="n">
        <f aca="false">-SUM(Inputs!B17:B22)</f>
        <v>-194000</v>
      </c>
    </row>
    <row r="11" customFormat="false" ht="18" hidden="false" customHeight="true" outlineLevel="0" collapsed="false">
      <c r="A11" s="5" t="s">
        <v>60</v>
      </c>
      <c r="B11" s="13" t="n">
        <f aca="false">-Inputs!$B$23*Inputs!$B$8</f>
        <v>-10000</v>
      </c>
    </row>
    <row r="12" customFormat="false" ht="18" hidden="false" customHeight="true" outlineLevel="0" collapsed="false">
      <c r="A12" s="5" t="s">
        <v>61</v>
      </c>
      <c r="B12" s="18" t="n">
        <f aca="false">B9+B10+B11</f>
        <v>314700</v>
      </c>
    </row>
    <row r="13" customFormat="false" ht="18" hidden="false" customHeight="true" outlineLevel="0" collapsed="false">
      <c r="A13" s="5" t="s">
        <v>62</v>
      </c>
      <c r="B13" s="19" t="n">
        <f aca="false">IF(B9=0,0,-(B10+B11)/B9)</f>
        <v>0.393290919606709</v>
      </c>
    </row>
    <row r="15" customFormat="false" ht="19.5" hidden="false" customHeight="true" outlineLevel="0" collapsed="false">
      <c r="A15" s="3" t="s">
        <v>26</v>
      </c>
      <c r="B15" s="4"/>
      <c r="C15" s="4"/>
      <c r="D15" s="4"/>
    </row>
    <row r="16" customFormat="false" ht="18" hidden="false" customHeight="true" outlineLevel="0" collapsed="false">
      <c r="A16" s="5" t="s">
        <v>63</v>
      </c>
      <c r="B16" s="13" t="n">
        <f aca="false">Inputs!$B$26</f>
        <v>3400000</v>
      </c>
    </row>
    <row r="17" customFormat="false" ht="18" hidden="false" customHeight="true" outlineLevel="0" collapsed="false">
      <c r="A17" s="5" t="s">
        <v>64</v>
      </c>
      <c r="B17" s="19" t="n">
        <f aca="false">IF(Inputs!$B$9=0,0,B16/Inputs!$B$9)</f>
        <v>0.739130434782609</v>
      </c>
    </row>
    <row r="18" customFormat="false" ht="18" hidden="false" customHeight="true" outlineLevel="0" collapsed="false">
      <c r="A18" s="5" t="s">
        <v>65</v>
      </c>
      <c r="B18" s="19" t="n">
        <f aca="false">Inputs!$B$27</f>
        <v>0.07</v>
      </c>
    </row>
    <row r="19" customFormat="false" ht="18" hidden="false" customHeight="true" outlineLevel="0" collapsed="false">
      <c r="A19" s="5" t="s">
        <v>66</v>
      </c>
      <c r="B19" s="15" t="n">
        <f aca="false">Inputs!$B$28*12</f>
        <v>360</v>
      </c>
    </row>
    <row r="20" customFormat="false" ht="18" hidden="false" customHeight="true" outlineLevel="0" collapsed="false">
      <c r="A20" s="5" t="s">
        <v>67</v>
      </c>
      <c r="B20" s="14" t="n">
        <f aca="false">IF(B18=0,B16/B19,PMT(B18/12,B19,-B16))</f>
        <v>22620.2848360922</v>
      </c>
    </row>
    <row r="21" customFormat="false" ht="18" hidden="false" customHeight="true" outlineLevel="0" collapsed="false">
      <c r="A21" s="5" t="s">
        <v>68</v>
      </c>
      <c r="B21" s="14" t="n">
        <f aca="false">B16*B18/12</f>
        <v>19833.3333333333</v>
      </c>
    </row>
    <row r="22" customFormat="false" ht="18" hidden="false" customHeight="true" outlineLevel="0" collapsed="false">
      <c r="A22" s="5" t="s">
        <v>69</v>
      </c>
      <c r="B22" s="13" t="n">
        <f aca="false">12*IF(Inputs!$B$29="Yes",B21,B20)</f>
        <v>271443.418033107</v>
      </c>
      <c r="D22" s="8" t="s">
        <v>70</v>
      </c>
    </row>
    <row r="24" customFormat="false" ht="19.5" hidden="false" customHeight="true" outlineLevel="0" collapsed="false">
      <c r="A24" s="3" t="s">
        <v>71</v>
      </c>
      <c r="B24" s="4"/>
      <c r="C24" s="4"/>
      <c r="D24" s="4"/>
    </row>
    <row r="25" customFormat="false" ht="18" hidden="false" customHeight="true" outlineLevel="0" collapsed="false">
      <c r="A25" s="5" t="s">
        <v>72</v>
      </c>
      <c r="B25" s="16" t="n">
        <f aca="false">IF(B20=0,0,B12/(B20*12))</f>
        <v>1.15935763806812</v>
      </c>
    </row>
    <row r="26" customFormat="false" ht="18" hidden="false" customHeight="true" outlineLevel="0" collapsed="false">
      <c r="A26" s="5" t="s">
        <v>73</v>
      </c>
      <c r="B26" s="17" t="n">
        <f aca="false">IF(B21=0,0,B12/(B21*12))</f>
        <v>1.32226890756303</v>
      </c>
    </row>
    <row r="27" customFormat="false" ht="18" hidden="false" customHeight="true" outlineLevel="0" collapsed="false">
      <c r="A27" s="5" t="s">
        <v>74</v>
      </c>
      <c r="B27" s="17" t="n">
        <f aca="false">Inputs!$B$30</f>
        <v>1.2</v>
      </c>
    </row>
    <row r="28" customFormat="false" ht="18" hidden="false" customHeight="true" outlineLevel="0" collapsed="false">
      <c r="A28" s="5" t="s">
        <v>75</v>
      </c>
      <c r="B28" s="12" t="str">
        <f aca="false">IF(B12/MAX(B22,1)&gt;=B27,"Yes","No")</f>
        <v>No</v>
      </c>
    </row>
    <row r="29" customFormat="false" ht="18" hidden="false" customHeight="true" outlineLevel="0" collapsed="false">
      <c r="A29" s="5" t="s">
        <v>52</v>
      </c>
      <c r="B29" s="19" t="n">
        <f aca="false">IF((B6+B7)=0,0,(-(B10+B11)+B22)/(B6+B7))</f>
        <v>0.870775490903126</v>
      </c>
      <c r="D29" s="8" t="s">
        <v>76</v>
      </c>
    </row>
    <row r="31" customFormat="false" ht="19.5" hidden="false" customHeight="true" outlineLevel="0" collapsed="false">
      <c r="A31" s="3" t="s">
        <v>77</v>
      </c>
      <c r="B31" s="4"/>
      <c r="C31" s="4"/>
      <c r="D31" s="4"/>
    </row>
    <row r="32" customFormat="false" ht="18" hidden="false" customHeight="true" outlineLevel="0" collapsed="false">
      <c r="A32" s="5" t="s">
        <v>78</v>
      </c>
      <c r="B32" s="13" t="n">
        <f aca="false">IF(B27=0,0,B12/B27)</f>
        <v>262250</v>
      </c>
    </row>
    <row r="33" customFormat="false" ht="18" hidden="false" customHeight="true" outlineLevel="0" collapsed="false">
      <c r="A33" s="5" t="s">
        <v>79</v>
      </c>
      <c r="B33" s="18" t="n">
        <f aca="false">FLOOR(IF(B18=0,B32/12*B19,PV(B18/12,B19,-B32/12)),1000)</f>
        <v>3284000</v>
      </c>
    </row>
    <row r="34" customFormat="false" ht="18" hidden="false" customHeight="true" outlineLevel="0" collapsed="false">
      <c r="A34" s="5" t="s">
        <v>80</v>
      </c>
      <c r="B34" s="13" t="n">
        <f aca="false">FLOOR(IF(B18=0,0,B32/B18),1000)</f>
        <v>3746000</v>
      </c>
    </row>
    <row r="35" customFormat="false" ht="18" hidden="false" customHeight="true" outlineLevel="0" collapsed="false">
      <c r="A35" s="5" t="s">
        <v>81</v>
      </c>
      <c r="B35" s="18" t="n">
        <f aca="false">B33-B16</f>
        <v>-116000</v>
      </c>
      <c r="D35" s="8" t="s">
        <v>82</v>
      </c>
    </row>
    <row r="36" customFormat="false" ht="18" hidden="false" customHeight="true" outlineLevel="0" collapsed="false">
      <c r="A36" s="5" t="s">
        <v>83</v>
      </c>
      <c r="B36" s="19" t="n">
        <f aca="false">IFERROR(RATE(B19,-B32/12,B16)*12,0)</f>
        <v>0.0666215450195941</v>
      </c>
      <c r="D36" s="8" t="s">
        <v>84</v>
      </c>
    </row>
    <row r="38" customFormat="false" ht="19.5" hidden="false" customHeight="true" outlineLevel="0" collapsed="false">
      <c r="A38" s="3" t="s">
        <v>85</v>
      </c>
      <c r="B38" s="4"/>
      <c r="C38" s="4"/>
      <c r="D38" s="4"/>
    </row>
    <row r="39" customFormat="false" ht="15" hidden="false" customHeight="false" outlineLevel="0" collapsed="false">
      <c r="A39" s="22" t="s">
        <v>86</v>
      </c>
      <c r="B39" s="22" t="s">
        <v>87</v>
      </c>
      <c r="C39" s="22" t="s">
        <v>88</v>
      </c>
    </row>
    <row r="40" customFormat="false" ht="15" hidden="false" customHeight="false" outlineLevel="0" collapsed="false">
      <c r="A40" s="23" t="n">
        <f aca="false">B18+(-0.01)</f>
        <v>0.06</v>
      </c>
      <c r="B40" s="24" t="n">
        <f aca="false">IF(A40&lt;=0,0,B12/(12*PMT(A40/12,B19,-B16)))</f>
        <v>1.28650296689382</v>
      </c>
      <c r="C40" s="25" t="n">
        <f aca="false">IF(A40&lt;=0,0,FLOOR(PV(A40/12,B19,-B32/12),1000))</f>
        <v>3645000</v>
      </c>
    </row>
    <row r="41" customFormat="false" ht="15" hidden="false" customHeight="false" outlineLevel="0" collapsed="false">
      <c r="A41" s="26" t="n">
        <f aca="false">B18+(-0.005)</f>
        <v>0.065</v>
      </c>
      <c r="B41" s="27" t="n">
        <f aca="false">IF(A41&lt;=0,0,B12/(12*PMT(A41/12,B19,-B16)))</f>
        <v>1.22031727716463</v>
      </c>
      <c r="C41" s="28" t="n">
        <f aca="false">IF(A41&lt;=0,0,FLOOR(PV(A41/12,B19,-B32/12),1000))</f>
        <v>3457000</v>
      </c>
    </row>
    <row r="42" customFormat="false" ht="15" hidden="false" customHeight="false" outlineLevel="0" collapsed="false">
      <c r="A42" s="23" t="n">
        <f aca="false">B18+(0)</f>
        <v>0.07</v>
      </c>
      <c r="B42" s="24" t="n">
        <f aca="false">IF(A42&lt;=0,0,B12/(12*PMT(A42/12,B19,-B16)))</f>
        <v>1.15935763806812</v>
      </c>
      <c r="C42" s="25" t="n">
        <f aca="false">IF(A42&lt;=0,0,FLOOR(PV(A42/12,B19,-B32/12),1000))</f>
        <v>3284000</v>
      </c>
    </row>
    <row r="43" customFormat="false" ht="15" hidden="false" customHeight="false" outlineLevel="0" collapsed="false">
      <c r="A43" s="26" t="n">
        <f aca="false">B18+(0.005)</f>
        <v>0.075</v>
      </c>
      <c r="B43" s="27" t="n">
        <f aca="false">IF(A43&lt;=0,0,B12/(12*PMT(A43/12,B19,-B16)))</f>
        <v>1.10312861071524</v>
      </c>
      <c r="C43" s="28" t="n">
        <f aca="false">IF(A43&lt;=0,0,FLOOR(PV(A43/12,B19,-B32/12),1000))</f>
        <v>3125000</v>
      </c>
    </row>
    <row r="44" customFormat="false" ht="15" hidden="false" customHeight="false" outlineLevel="0" collapsed="false">
      <c r="A44" s="23" t="n">
        <f aca="false">B18+(0.01)</f>
        <v>0.08</v>
      </c>
      <c r="B44" s="24" t="n">
        <f aca="false">IF(A44&lt;=0,0,B12/(12*PMT(A44/12,B19,-B16)))</f>
        <v>1.05118665695976</v>
      </c>
      <c r="C44" s="25" t="n">
        <f aca="false">IF(A44&lt;=0,0,FLOOR(PV(A44/12,B19,-B32/12),1000))</f>
        <v>2978000</v>
      </c>
    </row>
    <row r="46" customFormat="false" ht="19.5" hidden="false" customHeight="true" outlineLevel="0" collapsed="false">
      <c r="A46" s="3" t="s">
        <v>89</v>
      </c>
      <c r="B46" s="4"/>
      <c r="C46" s="4"/>
      <c r="D46" s="4"/>
    </row>
    <row r="47" customFormat="false" ht="15" hidden="false" customHeight="false" outlineLevel="0" collapsed="false">
      <c r="A47" s="22" t="s">
        <v>90</v>
      </c>
      <c r="B47" s="22" t="s">
        <v>91</v>
      </c>
      <c r="C47" s="22" t="s">
        <v>45</v>
      </c>
    </row>
    <row r="48" customFormat="false" ht="15" hidden="false" customHeight="false" outlineLevel="0" collapsed="false">
      <c r="A48" s="29" t="n">
        <v>0.05</v>
      </c>
      <c r="B48" s="25" t="n">
        <f aca="false">(B6+B7)*(1-A48)+B10+B11</f>
        <v>314700</v>
      </c>
      <c r="C48" s="24" t="n">
        <f aca="false">IF(B22=0,0,B48/B22)</f>
        <v>1.15935763806812</v>
      </c>
    </row>
    <row r="49" customFormat="false" ht="15" hidden="false" customHeight="false" outlineLevel="0" collapsed="false">
      <c r="A49" s="30" t="n">
        <v>0.1</v>
      </c>
      <c r="B49" s="28" t="n">
        <f aca="false">(B6+B7)*(1-A49)+B10+B11</f>
        <v>287400</v>
      </c>
      <c r="C49" s="27" t="n">
        <f aca="false">IF(B22=0,0,B49/B22)</f>
        <v>1.05878419186774</v>
      </c>
    </row>
    <row r="50" customFormat="false" ht="15" hidden="false" customHeight="false" outlineLevel="0" collapsed="false">
      <c r="A50" s="29" t="n">
        <v>0.15</v>
      </c>
      <c r="B50" s="25" t="n">
        <f aca="false">(B6+B7)*(1-A50)+B10+B11</f>
        <v>260100</v>
      </c>
      <c r="C50" s="24" t="n">
        <f aca="false">IF(B22=0,0,B50/B22)</f>
        <v>0.95821074566736</v>
      </c>
    </row>
    <row r="51" customFormat="false" ht="15" hidden="false" customHeight="false" outlineLevel="0" collapsed="false">
      <c r="A51" s="30" t="n">
        <v>0.2</v>
      </c>
      <c r="B51" s="28" t="n">
        <f aca="false">(B6+B7)*(1-A51)+B10+B11</f>
        <v>232800</v>
      </c>
      <c r="C51" s="27" t="n">
        <f aca="false">IF(B22=0,0,B51/B22)</f>
        <v>0.857637299466979</v>
      </c>
    </row>
    <row r="53" customFormat="false" ht="30" hidden="false" customHeight="true" outlineLevel="0" collapsed="false">
      <c r="A53" s="2" t="s">
        <v>36</v>
      </c>
      <c r="B53" s="2"/>
      <c r="C53" s="2"/>
      <c r="D53" s="2"/>
    </row>
  </sheetData>
  <mergeCells count="3">
    <mergeCell ref="A1:D1"/>
    <mergeCell ref="A3:D3"/>
    <mergeCell ref="A53:D5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2026-09-30T02:12:13Z</dcterms:created>
  <dc:creator>Capituro LLC</dc:creator>
  <dc:description/>
  <dc:language>en-US</dc:language>
  <cp:lastModifiedBy/>
  <dcterms:modified xsi:type="dcterms:W3CDTF">2026-09-29T22:12:19Z</dcterms:modified>
  <cp:revision>1</cp:revision>
  <dc:subject/>
  <dc:title>Apartment DSCR Calculator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