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2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Inputs" sheetId="1" state="visible" r:id="rId3"/>
    <sheet name="Summary" sheetId="2" state="visible" r:id="rId4"/>
    <sheet name="Takeout" sheetId="3" state="visible" r:id="rId5"/>
    <sheet name="Timeline" sheetId="4" state="visible" r:id="rId6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<sst xmlns="http://schemas.openxmlformats.org/spreadsheetml/2006/main" count="124" uniqueCount="101">
  <si>
    <t xml:space="preserve">Bridge to Permanent Inputs</t>
  </si>
  <si>
    <t xml:space="preserve">Yellow cells are yours. Everything else calculates. The example building is fictional.</t>
  </si>
  <si>
    <t xml:space="preserve">Property</t>
  </si>
  <si>
    <t xml:space="preserve">Property name</t>
  </si>
  <si>
    <t xml:space="preserve">Fictional Wynnton Grove Apartments</t>
  </si>
  <si>
    <t xml:space="preserve">City, State</t>
  </si>
  <si>
    <t xml:space="preserve">Columbus, GA</t>
  </si>
  <si>
    <t xml:space="preserve">Legal unit count</t>
  </si>
  <si>
    <t xml:space="preserve">The purchase and the work</t>
  </si>
  <si>
    <t xml:space="preserve">Purchase price</t>
  </si>
  <si>
    <t xml:space="preserve">Renovation budget</t>
  </si>
  <si>
    <t xml:space="preserve">Hard and soft costs, with contingency.</t>
  </si>
  <si>
    <t xml:space="preserve">Purchase closing costs (% of price)</t>
  </si>
  <si>
    <t xml:space="preserve">Months of renovation</t>
  </si>
  <si>
    <t xml:space="preserve">Months of lease-up after renovation</t>
  </si>
  <si>
    <t xml:space="preserve">Until occupancy reaches the permanent lender's minimum.</t>
  </si>
  <si>
    <t xml:space="preserve">The bridge loan</t>
  </si>
  <si>
    <t xml:space="preserve">Bridge loan as a share of total cost</t>
  </si>
  <si>
    <t xml:space="preserve">Loan-to-cost. 75% to 85% is typical.</t>
  </si>
  <si>
    <t xml:space="preserve">Bridge interest rate (interest-only)</t>
  </si>
  <si>
    <t xml:space="preserve">The rate you want to test. This one is a placeholder.</t>
  </si>
  <si>
    <t xml:space="preserve">Origination points</t>
  </si>
  <si>
    <t xml:space="preserve">Bridge term (months)</t>
  </si>
  <si>
    <t xml:space="preserve">The building once it is stabilized (annual)</t>
  </si>
  <si>
    <t xml:space="preserve">Gross scheduled rent at stabilization</t>
  </si>
  <si>
    <t xml:space="preserve">Post-renovation rents, every unit, 12 months.</t>
  </si>
  <si>
    <t xml:space="preserve">Other income</t>
  </si>
  <si>
    <t xml:space="preserve">Vacancy and credit loss</t>
  </si>
  <si>
    <t xml:space="preserve">Operating expenses</t>
  </si>
  <si>
    <t xml:space="preserve">Taxes at the post-purchase bill, insurance, management, repairs, utilities.</t>
  </si>
  <si>
    <t xml:space="preserve">Replacement reserves per unit</t>
  </si>
  <si>
    <t xml:space="preserve">Cap rate for the stabilized value</t>
  </si>
  <si>
    <t xml:space="preserve">What similar stabilized buildings sell at. The appraiser sets the real one.</t>
  </si>
  <si>
    <t xml:space="preserve">The permanent loan</t>
  </si>
  <si>
    <t xml:space="preserve">Permanent interest rate</t>
  </si>
  <si>
    <t xml:space="preserve">Amortization (years)</t>
  </si>
  <si>
    <t xml:space="preserve">Maximum loan-to-value</t>
  </si>
  <si>
    <t xml:space="preserve">Minimum DSCR</t>
  </si>
  <si>
    <t xml:space="preserve">Permanent closing costs (% of loan)</t>
  </si>
  <si>
    <t xml:space="preserve">Built by Capituro. The rate is yours, not a quote. Send the rent roll for a real one: capituro.com/contact</t>
  </si>
  <si>
    <t xml:space="preserve">Bridge to Permanent Calculator</t>
  </si>
  <si>
    <t xml:space="preserve">Change the Inputs sheet and this updates. The example building is fictional.</t>
  </si>
  <si>
    <t xml:space="preserve">Going in</t>
  </si>
  <si>
    <t xml:space="preserve">Coming out</t>
  </si>
  <si>
    <t xml:space="preserve">Stabilized NOI</t>
  </si>
  <si>
    <t xml:space="preserve">Location</t>
  </si>
  <si>
    <t xml:space="preserve">Stabilized value</t>
  </si>
  <si>
    <t xml:space="preserve">Units</t>
  </si>
  <si>
    <t xml:space="preserve">Permanent loan</t>
  </si>
  <si>
    <t xml:space="preserve">Total project cost</t>
  </si>
  <si>
    <t xml:space="preserve">Monthly payment after</t>
  </si>
  <si>
    <t xml:space="preserve">Bridge loan</t>
  </si>
  <si>
    <t xml:space="preserve">Cash back to you at the refinance</t>
  </si>
  <si>
    <t xml:space="preserve">Months until stabilized</t>
  </si>
  <si>
    <t xml:space="preserve">Share of your cash returned</t>
  </si>
  <si>
    <t xml:space="preserve">Total cash in before the refinance</t>
  </si>
  <si>
    <t xml:space="preserve">Months left on the bridge at stabilization</t>
  </si>
  <si>
    <t xml:space="preserve">Chart data</t>
  </si>
  <si>
    <t xml:space="preserve">From the Bridge Loan to the Permanent Loan</t>
  </si>
  <si>
    <t xml:space="preserve">What goes in, what the stabilized building supports, and how much of your cash comes back at the refinance.</t>
  </si>
  <si>
    <t xml:space="preserve">Purchase closing costs</t>
  </si>
  <si>
    <t xml:space="preserve">Cash in at closing</t>
  </si>
  <si>
    <t xml:space="preserve">Cost less the bridge loan, plus points.</t>
  </si>
  <si>
    <t xml:space="preserve">Carrying the bridge</t>
  </si>
  <si>
    <t xml:space="preserve">Monthly interest on the bridge</t>
  </si>
  <si>
    <t xml:space="preserve">Assumes the full loan is drawn from day one. A draw schedule would cost less.</t>
  </si>
  <si>
    <t xml:space="preserve">Interest carried until stabilized</t>
  </si>
  <si>
    <t xml:space="preserve">Total cash in the deal before the refinance</t>
  </si>
  <si>
    <t xml:space="preserve">Closing cash plus interest, whether paid monthly or from an interest reserve.</t>
  </si>
  <si>
    <t xml:space="preserve">Better permanent loans usually take 60 to 90 days. Alternatives can close in 35 days, or quicker. Below 3 months is tight.</t>
  </si>
  <si>
    <t xml:space="preserve">The stabilized building</t>
  </si>
  <si>
    <t xml:space="preserve">Effective gross income</t>
  </si>
  <si>
    <t xml:space="preserve">Operating expenses and reserves</t>
  </si>
  <si>
    <t xml:space="preserve">Net operating income</t>
  </si>
  <si>
    <t xml:space="preserve">Stabilized value at the cap rate</t>
  </si>
  <si>
    <t xml:space="preserve">Value over total cost</t>
  </si>
  <si>
    <t xml:space="preserve">Under 115% and the takeout usually will not cover the bridge.</t>
  </si>
  <si>
    <t xml:space="preserve">Loan supported by value</t>
  </si>
  <si>
    <t xml:space="preserve">Loan supported by cash flow</t>
  </si>
  <si>
    <t xml:space="preserve">Lower of the two limits.</t>
  </si>
  <si>
    <t xml:space="preserve">Which limit is binding</t>
  </si>
  <si>
    <t xml:space="preserve">Monthly payment</t>
  </si>
  <si>
    <t xml:space="preserve">DSCR on the permanent loan</t>
  </si>
  <si>
    <t xml:space="preserve">At the refinance</t>
  </si>
  <si>
    <t xml:space="preserve">Less bridge payoff</t>
  </si>
  <si>
    <t xml:space="preserve">Less permanent closing costs</t>
  </si>
  <si>
    <t xml:space="preserve">Cash back to you (or in)</t>
  </si>
  <si>
    <t xml:space="preserve">Negative means the permanent loan does not cover the bridge and you bring the difference.</t>
  </si>
  <si>
    <t xml:space="preserve">Cash still in the deal</t>
  </si>
  <si>
    <t xml:space="preserve">What the cap rate does to the takeout</t>
  </si>
  <si>
    <t xml:space="preserve">Cap rate</t>
  </si>
  <si>
    <t xml:space="preserve">Cash back to you</t>
  </si>
  <si>
    <t xml:space="preserve">Third row is the cap rate you entered.</t>
  </si>
  <si>
    <t xml:space="preserve">The Bridge, Month by Month</t>
  </si>
  <si>
    <t xml:space="preserve">Which phase the building is in, what the bridge costs each month, and when the term runs out.</t>
  </si>
  <si>
    <t xml:space="preserve">Month</t>
  </si>
  <si>
    <t xml:space="preserve">Phase</t>
  </si>
  <si>
    <t xml:space="preserve">Bridge balance</t>
  </si>
  <si>
    <t xml:space="preserve">Interest this month</t>
  </si>
  <si>
    <t xml:space="preserve">Interest to date</t>
  </si>
  <si>
    <t xml:space="preserve">Months left on the term</t>
  </si>
</sst>
</file>

<file path=xl/styles.xml><?xml version="1.0" encoding="utf-8"?>
<styleSheet xmlns="http://schemas.openxmlformats.org/spreadsheetml/2006/main">
  <numFmts count="7">
    <numFmt numFmtId="164" formatCode="General"/>
    <numFmt numFmtId="165" formatCode="0"/>
    <numFmt numFmtId="166" formatCode="\$#,##0;[RED]&quot;-$&quot;#,##0"/>
    <numFmt numFmtId="167" formatCode="0.00%"/>
    <numFmt numFmtId="168" formatCode="0.00\x"/>
    <numFmt numFmtId="169" formatCode="\$#,##0.00;[RED]&quot;-$&quot;#,##0.00"/>
    <numFmt numFmtId="170" formatCode="\$#,##0"/>
  </numFmts>
  <fonts count="12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color rgb="FFFFFFFF"/>
      <name val="Georgia"/>
      <family val="0"/>
      <charset val="1"/>
    </font>
    <font>
      <i val="true"/>
      <sz val="9"/>
      <color rgb="FF465470"/>
      <name val="Georgia"/>
      <family val="0"/>
      <charset val="1"/>
    </font>
    <font>
      <b val="true"/>
      <sz val="10"/>
      <color rgb="FFFFFFFF"/>
      <name val="Georgia"/>
      <family val="0"/>
      <charset val="1"/>
    </font>
    <font>
      <b val="true"/>
      <sz val="10"/>
      <color rgb="FF0A1428"/>
      <name val="Georgia"/>
      <family val="0"/>
      <charset val="1"/>
    </font>
    <font>
      <sz val="10"/>
      <color rgb="FF0A1428"/>
      <name val="Georgia"/>
      <family val="0"/>
      <charset val="1"/>
    </font>
    <font>
      <b val="true"/>
      <sz val="12"/>
      <color rgb="FF0A1428"/>
      <name val="Georgia"/>
      <family val="0"/>
      <charset val="1"/>
    </font>
    <font>
      <b val="true"/>
      <sz val="18"/>
      <color rgb="FF000000"/>
      <name val="Calibri"/>
      <family val="2"/>
    </font>
    <font>
      <sz val="10"/>
      <color rgb="FF000000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0A1428"/>
        <bgColor rgb="FF000000"/>
      </patternFill>
    </fill>
    <fill>
      <patternFill patternType="solid">
        <fgColor rgb="FF2B3A55"/>
        <bgColor rgb="FF333399"/>
      </patternFill>
    </fill>
    <fill>
      <patternFill patternType="solid">
        <fgColor rgb="FFF6F7F8"/>
        <bgColor rgb="FFF9F9F9"/>
      </patternFill>
    </fill>
    <fill>
      <patternFill patternType="solid">
        <fgColor rgb="FFFFF4DD"/>
        <bgColor rgb="FFEEF7DC"/>
      </patternFill>
    </fill>
    <fill>
      <patternFill patternType="solid">
        <fgColor rgb="FFFFFFFF"/>
        <bgColor rgb="FFF9F9F9"/>
      </patternFill>
    </fill>
    <fill>
      <patternFill patternType="solid">
        <fgColor rgb="FFEEF7DC"/>
        <bgColor rgb="FFFFF4DD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DFE2E8"/>
      </left>
      <right style="thin">
        <color rgb="FFDFE2E8"/>
      </right>
      <top style="thin">
        <color rgb="FFDFE2E8"/>
      </top>
      <bottom style="thin">
        <color rgb="FFDFE2E8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true" applyProtection="false">
      <alignment horizontal="general" vertical="center" textRotation="0" wrapText="false" indent="1" shrinkToFit="false"/>
      <protection locked="true" hidden="false"/>
    </xf>
    <xf numFmtId="164" fontId="5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6" fillId="3" borderId="0" xfId="0" applyFont="true" applyBorder="false" applyAlignment="true" applyProtection="false">
      <alignment horizontal="general" vertical="center" textRotation="0" wrapText="false" indent="1" shrinkToFit="false"/>
      <protection locked="true" hidden="false"/>
    </xf>
    <xf numFmtId="164" fontId="0" fillId="3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4" borderId="1" xfId="0" applyFont="true" applyBorder="true" applyAlignment="true" applyProtection="false">
      <alignment horizontal="general" vertical="center" textRotation="0" wrapText="false" indent="1" shrinkToFit="false"/>
      <protection locked="true" hidden="false"/>
    </xf>
    <xf numFmtId="164" fontId="8" fillId="5" borderId="1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5" fontId="8" fillId="5" borderId="1" xfId="0" applyFont="true" applyBorder="true" applyAlignment="true" applyProtection="false">
      <alignment horizontal="right" vertical="center" textRotation="0" wrapText="false" indent="1" shrinkToFit="false"/>
      <protection locked="true" hidden="false"/>
    </xf>
    <xf numFmtId="166" fontId="8" fillId="5" borderId="1" xfId="0" applyFont="true" applyBorder="true" applyAlignment="true" applyProtection="false">
      <alignment horizontal="right" vertical="center" textRotation="0" wrapText="false" indent="1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7" fontId="8" fillId="5" borderId="1" xfId="0" applyFont="true" applyBorder="true" applyAlignment="true" applyProtection="false">
      <alignment horizontal="right" vertical="center" textRotation="0" wrapText="false" indent="1" shrinkToFit="false"/>
      <protection locked="true" hidden="false"/>
    </xf>
    <xf numFmtId="168" fontId="8" fillId="5" borderId="1" xfId="0" applyFont="true" applyBorder="true" applyAlignment="true" applyProtection="false">
      <alignment horizontal="right" vertical="center" textRotation="0" wrapText="false" indent="1" shrinkToFit="false"/>
      <protection locked="true" hidden="false"/>
    </xf>
    <xf numFmtId="164" fontId="8" fillId="6" borderId="1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6" fontId="8" fillId="6" borderId="1" xfId="0" applyFont="true" applyBorder="true" applyAlignment="true" applyProtection="false">
      <alignment horizontal="right" vertical="center" textRotation="0" wrapText="false" indent="1" shrinkToFit="false"/>
      <protection locked="true" hidden="false"/>
    </xf>
    <xf numFmtId="165" fontId="8" fillId="6" borderId="1" xfId="0" applyFont="true" applyBorder="true" applyAlignment="true" applyProtection="false">
      <alignment horizontal="right" vertical="center" textRotation="0" wrapText="false" indent="1" shrinkToFit="false"/>
      <protection locked="true" hidden="false"/>
    </xf>
    <xf numFmtId="166" fontId="9" fillId="7" borderId="1" xfId="0" applyFont="true" applyBorder="true" applyAlignment="true" applyProtection="false">
      <alignment horizontal="right" vertical="center" textRotation="0" wrapText="false" indent="1" shrinkToFit="false"/>
      <protection locked="true" hidden="false"/>
    </xf>
    <xf numFmtId="169" fontId="8" fillId="6" borderId="1" xfId="0" applyFont="true" applyBorder="true" applyAlignment="true" applyProtection="false">
      <alignment horizontal="right" vertical="center" textRotation="0" wrapText="false" indent="1" shrinkToFit="false"/>
      <protection locked="true" hidden="false"/>
    </xf>
    <xf numFmtId="167" fontId="8" fillId="6" borderId="1" xfId="0" applyFont="true" applyBorder="true" applyAlignment="true" applyProtection="false">
      <alignment horizontal="right" vertical="center" textRotation="0" wrapText="false" indent="1" shrinkToFit="false"/>
      <protection locked="true" hidden="false"/>
    </xf>
    <xf numFmtId="164" fontId="8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8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8" fillId="6" borderId="1" xfId="0" applyFont="true" applyBorder="true" applyAlignment="true" applyProtection="false">
      <alignment horizontal="right" vertical="center" textRotation="0" wrapText="false" indent="1" shrinkToFit="false"/>
      <protection locked="true" hidden="false"/>
    </xf>
    <xf numFmtId="164" fontId="7" fillId="4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7" fontId="8" fillId="0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6" fontId="8" fillId="0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7" fontId="8" fillId="4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6" fontId="8" fillId="4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3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5" fontId="8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8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8" fillId="4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8" fillId="4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ont>
        <name val="Georgia"/>
        <charset val="1"/>
        <family val="0"/>
        <b val="1"/>
        <color rgb="FF0A1428"/>
      </font>
      <fill>
        <patternFill>
          <bgColor rgb="FFEEF7DC"/>
        </patternFill>
      </fill>
    </dxf>
    <dxf>
      <font>
        <name val="Georgia"/>
        <charset val="1"/>
        <family val="0"/>
        <b val="1"/>
        <color rgb="FF0A1428"/>
      </font>
      <fill>
        <patternFill>
          <bgColor rgb="FFFDE7E2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DFE2E8"/>
      <rgbColor rgb="FF878787"/>
      <rgbColor rgb="FF9999FF"/>
      <rgbColor rgb="FF993366"/>
      <rgbColor rgb="FFFFF4DD"/>
      <rgbColor rgb="FFF6F7F8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F9F9F9"/>
      <rgbColor rgb="FFEEF7DC"/>
      <rgbColor rgb="FFFDE7E2"/>
      <rgbColor rgb="FF99CCFF"/>
      <rgbColor rgb="FFFF99CC"/>
      <rgbColor rgb="FFCC99FF"/>
      <rgbColor rgb="FFFFCC99"/>
      <rgbColor rgb="FF3366FF"/>
      <rgbColor rgb="FF33CCCC"/>
      <rgbColor rgb="FF8DC63F"/>
      <rgbColor rgb="FFFFCC00"/>
      <rgbColor rgb="FFFF9900"/>
      <rgbColor rgb="FFFF6600"/>
      <rgbColor rgb="FF465470"/>
      <rgbColor rgb="FF969696"/>
      <rgbColor rgb="FF003366"/>
      <rgbColor rgb="FF339966"/>
      <rgbColor rgb="FF0A1428"/>
      <rgbColor rgb="FF333300"/>
      <rgbColor rgb="FF993300"/>
      <rgbColor rgb="FF993366"/>
      <rgbColor rgb="FF333399"/>
      <rgbColor rgb="FF2B3A55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sharedStrings" Target="sharedStrings.xml"/>
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Cost and bridge against value and takeout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barChart>
        <c:barDir val="bar"/>
        <c:grouping val="clustered"/>
        <c:varyColors val="0"/>
        <c:ser>
          <c:idx val="0"/>
          <c:order val="0"/>
          <c:spPr>
            <a:solidFill>
              <a:srgbClr val="8dc63f"/>
            </a:solidFill>
            <a:ln w="9360">
              <a:solidFill>
                <a:srgbClr val="f9f9f9"/>
              </a:solidFill>
              <a:round/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Summary!$A$15:$A$18</c:f>
              <c:strCache>
                <c:ptCount val="4"/>
                <c:pt idx="0">
                  <c:v>Total project cost</c:v>
                </c:pt>
                <c:pt idx="1">
                  <c:v>Bridge loan</c:v>
                </c:pt>
                <c:pt idx="2">
                  <c:v>Stabilized value</c:v>
                </c:pt>
                <c:pt idx="3">
                  <c:v>Permanent loan</c:v>
                </c:pt>
              </c:strCache>
            </c:strRef>
          </c:cat>
          <c:val>
            <c:numRef>
              <c:f>Summary!$B$15:$B$18</c:f>
              <c:numCache>
                <c:formatCode>\$#,##0;[RED]"-$"#,##0</c:formatCode>
                <c:ptCount val="4"/>
                <c:pt idx="0">
                  <c:v>4058000</c:v>
                </c:pt>
                <c:pt idx="1">
                  <c:v>3246000</c:v>
                </c:pt>
                <c:pt idx="2">
                  <c:v>5241379.31034483</c:v>
                </c:pt>
                <c:pt idx="3">
                  <c:v>3931000</c:v>
                </c:pt>
              </c:numCache>
            </c:numRef>
          </c:val>
        </c:ser>
        <c:gapWidth val="150"/>
        <c:overlap val="0"/>
        <c:axId val="64049608"/>
        <c:axId val="35758495"/>
      </c:barChart>
      <c:catAx>
        <c:axId val="6404960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35758495"/>
        <c:crosses val="autoZero"/>
        <c:auto val="1"/>
        <c:lblAlgn val="ctr"/>
        <c:lblOffset val="100"/>
        <c:noMultiLvlLbl val="0"/>
      </c:catAx>
      <c:valAx>
        <c:axId val="35758495"/>
        <c:scaling>
          <c:orientation val="minMax"/>
          <c:min val="0"/>
        </c:scaling>
        <c:delete val="0"/>
        <c:axPos val="l"/>
        <c:numFmt formatCode="\$#,##0" sourceLinked="0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64049608"/>
        <c:crosses val="autoZero"/>
        <c:crossBetween val="between"/>
      </c:valAx>
      <c:spPr>
        <a:noFill/>
        <a:ln w="0">
          <a:noFill/>
        </a:ln>
      </c:spPr>
    </c:plotArea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drawings/_rels/drawing1.xml.rels><?xml version="1.0" encoding="UTF-8"?>
<Relationships xmlns="http://schemas.openxmlformats.org/package/2006/relationships"><Relationship Id="rId1" Type="http://schemas.openxmlformats.org/officeDocument/2006/relationships/chart" Target="../charts/chart1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3</xdr:col>
      <xdr:colOff>0</xdr:colOff>
      <xdr:row>13</xdr:row>
      <xdr:rowOff>0</xdr:rowOff>
    </xdr:from>
    <xdr:to>
      <xdr:col>6</xdr:col>
      <xdr:colOff>677160</xdr:colOff>
      <xdr:row>25</xdr:row>
      <xdr:rowOff>176400</xdr:rowOff>
    </xdr:to>
    <xdr:graphicFrame>
      <xdr:nvGraphicFramePr>
        <xdr:cNvPr id="0" name="Chart 1"/>
        <xdr:cNvGraphicFramePr/>
      </xdr:nvGraphicFramePr>
      <xdr:xfrm>
        <a:off x="5356800" y="3181320"/>
        <a:ext cx="5399640" cy="2519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C38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3" topLeftCell="A4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4"/>
    <col collapsed="false" customWidth="true" hidden="false" outlineLevel="0" max="2" min="2" style="0" width="30"/>
    <col collapsed="false" customWidth="true" hidden="false" outlineLevel="0" max="3" min="3" style="0" width="48"/>
  </cols>
  <sheetData>
    <row r="1" customFormat="false" ht="30" hidden="false" customHeight="true" outlineLevel="0" collapsed="false">
      <c r="A1" s="1" t="s">
        <v>0</v>
      </c>
      <c r="B1" s="1"/>
      <c r="C1" s="1"/>
    </row>
    <row r="3" customFormat="false" ht="30" hidden="false" customHeight="true" outlineLevel="0" collapsed="false">
      <c r="A3" s="2" t="s">
        <v>1</v>
      </c>
      <c r="B3" s="2"/>
      <c r="C3" s="2"/>
    </row>
    <row r="5" customFormat="false" ht="19.5" hidden="false" customHeight="true" outlineLevel="0" collapsed="false">
      <c r="A5" s="3" t="s">
        <v>2</v>
      </c>
      <c r="B5" s="4"/>
      <c r="C5" s="4"/>
    </row>
    <row r="6" customFormat="false" ht="18" hidden="false" customHeight="true" outlineLevel="0" collapsed="false">
      <c r="A6" s="5" t="s">
        <v>3</v>
      </c>
      <c r="B6" s="6" t="s">
        <v>4</v>
      </c>
    </row>
    <row r="7" customFormat="false" ht="18" hidden="false" customHeight="true" outlineLevel="0" collapsed="false">
      <c r="A7" s="5" t="s">
        <v>5</v>
      </c>
      <c r="B7" s="6" t="s">
        <v>6</v>
      </c>
    </row>
    <row r="8" customFormat="false" ht="18" hidden="false" customHeight="true" outlineLevel="0" collapsed="false">
      <c r="A8" s="5" t="s">
        <v>7</v>
      </c>
      <c r="B8" s="7" t="n">
        <v>44</v>
      </c>
    </row>
    <row r="10" customFormat="false" ht="19.5" hidden="false" customHeight="true" outlineLevel="0" collapsed="false">
      <c r="A10" s="3" t="s">
        <v>8</v>
      </c>
      <c r="B10" s="4"/>
      <c r="C10" s="4"/>
    </row>
    <row r="11" customFormat="false" ht="18" hidden="false" customHeight="true" outlineLevel="0" collapsed="false">
      <c r="A11" s="5" t="s">
        <v>9</v>
      </c>
      <c r="B11" s="8" t="n">
        <v>2900000</v>
      </c>
    </row>
    <row r="12" customFormat="false" ht="18" hidden="false" customHeight="true" outlineLevel="0" collapsed="false">
      <c r="A12" s="5" t="s">
        <v>10</v>
      </c>
      <c r="B12" s="8" t="n">
        <v>1100000</v>
      </c>
      <c r="C12" s="9" t="s">
        <v>11</v>
      </c>
    </row>
    <row r="13" customFormat="false" ht="18" hidden="false" customHeight="true" outlineLevel="0" collapsed="false">
      <c r="A13" s="5" t="s">
        <v>12</v>
      </c>
      <c r="B13" s="10" t="n">
        <v>0.02</v>
      </c>
    </row>
    <row r="14" customFormat="false" ht="18" hidden="false" customHeight="true" outlineLevel="0" collapsed="false">
      <c r="A14" s="5" t="s">
        <v>13</v>
      </c>
      <c r="B14" s="7" t="n">
        <v>8</v>
      </c>
    </row>
    <row r="15" customFormat="false" ht="18" hidden="false" customHeight="true" outlineLevel="0" collapsed="false">
      <c r="A15" s="5" t="s">
        <v>14</v>
      </c>
      <c r="B15" s="7" t="n">
        <v>6</v>
      </c>
      <c r="C15" s="9" t="s">
        <v>15</v>
      </c>
    </row>
    <row r="17" customFormat="false" ht="19.5" hidden="false" customHeight="true" outlineLevel="0" collapsed="false">
      <c r="A17" s="3" t="s">
        <v>16</v>
      </c>
      <c r="B17" s="4"/>
      <c r="C17" s="4"/>
    </row>
    <row r="18" customFormat="false" ht="18" hidden="false" customHeight="true" outlineLevel="0" collapsed="false">
      <c r="A18" s="5" t="s">
        <v>17</v>
      </c>
      <c r="B18" s="10" t="n">
        <v>0.8</v>
      </c>
      <c r="C18" s="9" t="s">
        <v>18</v>
      </c>
    </row>
    <row r="19" customFormat="false" ht="18" hidden="false" customHeight="true" outlineLevel="0" collapsed="false">
      <c r="A19" s="5" t="s">
        <v>19</v>
      </c>
      <c r="B19" s="10" t="n">
        <v>0.105</v>
      </c>
      <c r="C19" s="9" t="s">
        <v>20</v>
      </c>
    </row>
    <row r="20" customFormat="false" ht="18" hidden="false" customHeight="true" outlineLevel="0" collapsed="false">
      <c r="A20" s="5" t="s">
        <v>21</v>
      </c>
      <c r="B20" s="10" t="n">
        <v>0.02</v>
      </c>
    </row>
    <row r="21" customFormat="false" ht="18" hidden="false" customHeight="true" outlineLevel="0" collapsed="false">
      <c r="A21" s="5" t="s">
        <v>22</v>
      </c>
      <c r="B21" s="7" t="n">
        <v>18</v>
      </c>
    </row>
    <row r="23" customFormat="false" ht="19.5" hidden="false" customHeight="true" outlineLevel="0" collapsed="false">
      <c r="A23" s="3" t="s">
        <v>23</v>
      </c>
      <c r="B23" s="4"/>
      <c r="C23" s="4"/>
    </row>
    <row r="24" customFormat="false" ht="18" hidden="false" customHeight="true" outlineLevel="0" collapsed="false">
      <c r="A24" s="5" t="s">
        <v>24</v>
      </c>
      <c r="B24" s="8" t="n">
        <v>660000</v>
      </c>
      <c r="C24" s="9" t="s">
        <v>25</v>
      </c>
    </row>
    <row r="25" customFormat="false" ht="18" hidden="false" customHeight="true" outlineLevel="0" collapsed="false">
      <c r="A25" s="5" t="s">
        <v>26</v>
      </c>
      <c r="B25" s="8" t="n">
        <v>20000</v>
      </c>
    </row>
    <row r="26" customFormat="false" ht="18" hidden="false" customHeight="true" outlineLevel="0" collapsed="false">
      <c r="A26" s="5" t="s">
        <v>27</v>
      </c>
      <c r="B26" s="10" t="n">
        <v>0.05</v>
      </c>
    </row>
    <row r="27" customFormat="false" ht="18" hidden="false" customHeight="true" outlineLevel="0" collapsed="false">
      <c r="A27" s="5" t="s">
        <v>28</v>
      </c>
      <c r="B27" s="8" t="n">
        <v>255000</v>
      </c>
      <c r="C27" s="9" t="s">
        <v>29</v>
      </c>
    </row>
    <row r="28" customFormat="false" ht="18" hidden="false" customHeight="true" outlineLevel="0" collapsed="false">
      <c r="A28" s="5" t="s">
        <v>30</v>
      </c>
      <c r="B28" s="8" t="n">
        <v>250</v>
      </c>
    </row>
    <row r="29" customFormat="false" ht="18" hidden="false" customHeight="true" outlineLevel="0" collapsed="false">
      <c r="A29" s="5" t="s">
        <v>31</v>
      </c>
      <c r="B29" s="10" t="n">
        <v>0.0725</v>
      </c>
      <c r="C29" s="9" t="s">
        <v>32</v>
      </c>
    </row>
    <row r="31" customFormat="false" ht="19.5" hidden="false" customHeight="true" outlineLevel="0" collapsed="false">
      <c r="A31" s="3" t="s">
        <v>33</v>
      </c>
      <c r="B31" s="4"/>
      <c r="C31" s="4"/>
    </row>
    <row r="32" customFormat="false" ht="18" hidden="false" customHeight="true" outlineLevel="0" collapsed="false">
      <c r="A32" s="5" t="s">
        <v>34</v>
      </c>
      <c r="B32" s="10" t="n">
        <v>0.0675</v>
      </c>
      <c r="C32" s="9" t="s">
        <v>20</v>
      </c>
    </row>
    <row r="33" customFormat="false" ht="18" hidden="false" customHeight="true" outlineLevel="0" collapsed="false">
      <c r="A33" s="5" t="s">
        <v>35</v>
      </c>
      <c r="B33" s="7" t="n">
        <v>30</v>
      </c>
    </row>
    <row r="34" customFormat="false" ht="18" hidden="false" customHeight="true" outlineLevel="0" collapsed="false">
      <c r="A34" s="5" t="s">
        <v>36</v>
      </c>
      <c r="B34" s="10" t="n">
        <v>0.75</v>
      </c>
    </row>
    <row r="35" customFormat="false" ht="18" hidden="false" customHeight="true" outlineLevel="0" collapsed="false">
      <c r="A35" s="5" t="s">
        <v>37</v>
      </c>
      <c r="B35" s="11" t="n">
        <v>1.2</v>
      </c>
    </row>
    <row r="36" customFormat="false" ht="18" hidden="false" customHeight="true" outlineLevel="0" collapsed="false">
      <c r="A36" s="5" t="s">
        <v>38</v>
      </c>
      <c r="B36" s="10" t="n">
        <v>0.02</v>
      </c>
    </row>
    <row r="38" customFormat="false" ht="30" hidden="false" customHeight="true" outlineLevel="0" collapsed="false">
      <c r="A38" s="2" t="s">
        <v>39</v>
      </c>
      <c r="B38" s="2"/>
      <c r="C38" s="2"/>
    </row>
  </sheetData>
  <mergeCells count="3">
    <mergeCell ref="A1:C1"/>
    <mergeCell ref="A3:C3"/>
    <mergeCell ref="A38:C38"/>
  </mergeCells>
  <dataValidations count="4">
    <dataValidation allowBlank="false" errorStyle="stop" operator="between" showDropDown="false" showErrorMessage="false" showInputMessage="false" sqref="B14:B15" type="whole">
      <formula1>0</formula1>
      <formula2>36</formula2>
    </dataValidation>
    <dataValidation allowBlank="false" errorStyle="stop" operator="between" showDropDown="false" showErrorMessage="false" showInputMessage="false" sqref="B21" type="whole">
      <formula1>6</formula1>
      <formula2>60</formula2>
    </dataValidation>
    <dataValidation allowBlank="false" errorStyle="stop" operator="between" showDropDown="false" showErrorMessage="false" showInputMessage="false" sqref="B33" type="whole">
      <formula1>5</formula1>
      <formula2>40</formula2>
    </dataValidation>
    <dataValidation allowBlank="false" errorStyle="stop" operator="between" showDropDown="false" showErrorMessage="false" showInputMessage="false" sqref="B19 B32" type="decimal">
      <formula1>0.01</formula1>
      <formula2>0.25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H3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3" topLeftCell="A4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8"/>
    <col collapsed="false" customWidth="true" hidden="false" outlineLevel="0" max="2" min="2" style="0" width="32"/>
    <col collapsed="false" customWidth="true" hidden="false" outlineLevel="0" max="3" min="3" style="0" width="6"/>
    <col collapsed="false" customWidth="true" hidden="false" outlineLevel="0" max="4" min="4" style="0" width="42"/>
    <col collapsed="false" customWidth="true" hidden="false" outlineLevel="0" max="5" min="5" style="0" width="22"/>
    <col collapsed="false" customWidth="true" hidden="false" outlineLevel="0" max="6" min="6" style="0" width="3"/>
    <col collapsed="false" customWidth="true" hidden="false" outlineLevel="0" max="8" min="7" style="0" width="14"/>
  </cols>
  <sheetData>
    <row r="1" customFormat="false" ht="30" hidden="false" customHeight="true" outlineLevel="0" collapsed="false">
      <c r="A1" s="1" t="s">
        <v>40</v>
      </c>
      <c r="B1" s="1"/>
      <c r="C1" s="1"/>
      <c r="D1" s="1"/>
      <c r="E1" s="1"/>
      <c r="F1" s="1"/>
      <c r="G1" s="1"/>
      <c r="H1" s="1"/>
    </row>
    <row r="3" customFormat="false" ht="30" hidden="false" customHeight="true" outlineLevel="0" collapsed="false">
      <c r="A3" s="2" t="s">
        <v>41</v>
      </c>
      <c r="B3" s="2"/>
      <c r="C3" s="2"/>
      <c r="D3" s="2"/>
      <c r="E3" s="2"/>
      <c r="F3" s="2"/>
      <c r="G3" s="2"/>
      <c r="H3" s="2"/>
    </row>
    <row r="5" customFormat="false" ht="19.5" hidden="false" customHeight="true" outlineLevel="0" collapsed="false">
      <c r="A5" s="3" t="s">
        <v>42</v>
      </c>
      <c r="B5" s="4"/>
      <c r="D5" s="3" t="s">
        <v>43</v>
      </c>
      <c r="E5" s="4"/>
    </row>
    <row r="6" customFormat="false" ht="18" hidden="false" customHeight="true" outlineLevel="0" collapsed="false">
      <c r="A6" s="5" t="s">
        <v>2</v>
      </c>
      <c r="B6" s="12" t="str">
        <f aca="false">Inputs!$B$6</f>
        <v>Fictional Wynnton Grove Apartments</v>
      </c>
      <c r="D6" s="5" t="s">
        <v>44</v>
      </c>
      <c r="E6" s="13" t="n">
        <f aca="false">Takeout!B24</f>
        <v>380000</v>
      </c>
    </row>
    <row r="7" customFormat="false" ht="18" hidden="false" customHeight="true" outlineLevel="0" collapsed="false">
      <c r="A7" s="5" t="s">
        <v>45</v>
      </c>
      <c r="B7" s="12" t="str">
        <f aca="false">Inputs!$B$7</f>
        <v>Columbus, GA</v>
      </c>
      <c r="D7" s="5" t="s">
        <v>46</v>
      </c>
      <c r="E7" s="13" t="n">
        <f aca="false">Takeout!B25</f>
        <v>5241379.31034483</v>
      </c>
    </row>
    <row r="8" customFormat="false" ht="18" hidden="false" customHeight="true" outlineLevel="0" collapsed="false">
      <c r="A8" s="5" t="s">
        <v>47</v>
      </c>
      <c r="B8" s="14" t="n">
        <f aca="false">Inputs!$B$8</f>
        <v>44</v>
      </c>
      <c r="D8" s="5" t="s">
        <v>48</v>
      </c>
      <c r="E8" s="15" t="n">
        <f aca="false">Takeout!B31</f>
        <v>3931000</v>
      </c>
    </row>
    <row r="9" customFormat="false" ht="18" hidden="false" customHeight="true" outlineLevel="0" collapsed="false">
      <c r="A9" s="5" t="s">
        <v>49</v>
      </c>
      <c r="B9" s="13" t="n">
        <f aca="false">Takeout!B9</f>
        <v>4058000</v>
      </c>
      <c r="D9" s="5" t="s">
        <v>50</v>
      </c>
      <c r="E9" s="16" t="n">
        <f aca="false">Takeout!B33</f>
        <v>25496.3911760965</v>
      </c>
    </row>
    <row r="10" customFormat="false" ht="18" hidden="false" customHeight="true" outlineLevel="0" collapsed="false">
      <c r="A10" s="5" t="s">
        <v>51</v>
      </c>
      <c r="B10" s="13" t="n">
        <f aca="false">Takeout!B10</f>
        <v>3246000</v>
      </c>
      <c r="D10" s="5" t="s">
        <v>52</v>
      </c>
      <c r="E10" s="15" t="n">
        <f aca="false">Takeout!B40</f>
        <v>606380</v>
      </c>
    </row>
    <row r="11" customFormat="false" ht="18" hidden="false" customHeight="true" outlineLevel="0" collapsed="false">
      <c r="A11" s="5" t="s">
        <v>53</v>
      </c>
      <c r="B11" s="14" t="n">
        <f aca="false">Takeout!B15</f>
        <v>14</v>
      </c>
      <c r="D11" s="5" t="s">
        <v>54</v>
      </c>
      <c r="E11" s="17" t="n">
        <f aca="false">Takeout!B41</f>
        <v>0.475758205805163</v>
      </c>
    </row>
    <row r="12" customFormat="false" ht="18" hidden="false" customHeight="true" outlineLevel="0" collapsed="false">
      <c r="A12" s="5" t="s">
        <v>55</v>
      </c>
      <c r="B12" s="15" t="n">
        <f aca="false">Takeout!B18</f>
        <v>1274555</v>
      </c>
      <c r="D12" s="5" t="s">
        <v>56</v>
      </c>
      <c r="E12" s="14" t="n">
        <f aca="false">Takeout!B19</f>
        <v>4</v>
      </c>
    </row>
    <row r="14" customFormat="false" ht="19.5" hidden="false" customHeight="true" outlineLevel="0" collapsed="false">
      <c r="A14" s="3" t="s">
        <v>57</v>
      </c>
      <c r="B14" s="4"/>
    </row>
    <row r="15" customFormat="false" ht="15" hidden="false" customHeight="false" outlineLevel="0" collapsed="false">
      <c r="A15" s="18" t="s">
        <v>49</v>
      </c>
      <c r="B15" s="19" t="n">
        <f aca="false">Takeout!B9</f>
        <v>4058000</v>
      </c>
    </row>
    <row r="16" customFormat="false" ht="15" hidden="false" customHeight="false" outlineLevel="0" collapsed="false">
      <c r="A16" s="18" t="s">
        <v>51</v>
      </c>
      <c r="B16" s="19" t="n">
        <f aca="false">Takeout!B10</f>
        <v>3246000</v>
      </c>
    </row>
    <row r="17" customFormat="false" ht="15" hidden="false" customHeight="false" outlineLevel="0" collapsed="false">
      <c r="A17" s="18" t="s">
        <v>46</v>
      </c>
      <c r="B17" s="19" t="n">
        <f aca="false">Takeout!B25</f>
        <v>5241379.31034483</v>
      </c>
    </row>
    <row r="18" customFormat="false" ht="15" hidden="false" customHeight="false" outlineLevel="0" collapsed="false">
      <c r="A18" s="18" t="s">
        <v>48</v>
      </c>
      <c r="B18" s="19" t="n">
        <f aca="false">Takeout!B31</f>
        <v>3931000</v>
      </c>
    </row>
    <row r="30" customFormat="false" ht="30" hidden="false" customHeight="true" outlineLevel="0" collapsed="false">
      <c r="A30" s="2" t="s">
        <v>39</v>
      </c>
      <c r="B30" s="2"/>
      <c r="C30" s="2"/>
      <c r="D30" s="2"/>
      <c r="E30" s="2"/>
    </row>
  </sheetData>
  <mergeCells count="3">
    <mergeCell ref="A1:H1"/>
    <mergeCell ref="A3:H3"/>
    <mergeCell ref="A30:E30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E53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3" topLeftCell="A4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6"/>
    <col collapsed="false" customWidth="true" hidden="false" outlineLevel="0" max="2" min="2" style="0" width="20"/>
    <col collapsed="false" customWidth="true" hidden="false" outlineLevel="0" max="3" min="3" style="0" width="18"/>
    <col collapsed="false" customWidth="true" hidden="false" outlineLevel="0" max="4" min="4" style="0" width="20"/>
    <col collapsed="false" customWidth="true" hidden="false" outlineLevel="0" max="5" min="5" style="0" width="54"/>
  </cols>
  <sheetData>
    <row r="1" customFormat="false" ht="30" hidden="false" customHeight="true" outlineLevel="0" collapsed="false">
      <c r="A1" s="1" t="s">
        <v>58</v>
      </c>
      <c r="B1" s="1"/>
      <c r="C1" s="1"/>
      <c r="D1" s="1"/>
      <c r="E1" s="1"/>
    </row>
    <row r="3" customFormat="false" ht="30" hidden="false" customHeight="true" outlineLevel="0" collapsed="false">
      <c r="A3" s="2" t="s">
        <v>59</v>
      </c>
      <c r="B3" s="2"/>
      <c r="C3" s="2"/>
      <c r="D3" s="2"/>
      <c r="E3" s="2"/>
    </row>
    <row r="5" customFormat="false" ht="19.5" hidden="false" customHeight="true" outlineLevel="0" collapsed="false">
      <c r="A5" s="3" t="s">
        <v>42</v>
      </c>
      <c r="B5" s="4"/>
      <c r="C5" s="4"/>
      <c r="D5" s="4"/>
      <c r="E5" s="4"/>
    </row>
    <row r="6" customFormat="false" ht="18" hidden="false" customHeight="true" outlineLevel="0" collapsed="false">
      <c r="A6" s="5" t="s">
        <v>9</v>
      </c>
      <c r="B6" s="13" t="n">
        <f aca="false">Inputs!$B$11</f>
        <v>2900000</v>
      </c>
    </row>
    <row r="7" customFormat="false" ht="18" hidden="false" customHeight="true" outlineLevel="0" collapsed="false">
      <c r="A7" s="5" t="s">
        <v>10</v>
      </c>
      <c r="B7" s="13" t="n">
        <f aca="false">Inputs!$B$12</f>
        <v>1100000</v>
      </c>
    </row>
    <row r="8" customFormat="false" ht="18" hidden="false" customHeight="true" outlineLevel="0" collapsed="false">
      <c r="A8" s="5" t="s">
        <v>60</v>
      </c>
      <c r="B8" s="13" t="n">
        <f aca="false">Inputs!$B$11*Inputs!$B$13</f>
        <v>58000</v>
      </c>
    </row>
    <row r="9" customFormat="false" ht="18" hidden="false" customHeight="true" outlineLevel="0" collapsed="false">
      <c r="A9" s="5" t="s">
        <v>49</v>
      </c>
      <c r="B9" s="15" t="n">
        <f aca="false">SUM(B6:B8)</f>
        <v>4058000</v>
      </c>
    </row>
    <row r="10" customFormat="false" ht="18" hidden="false" customHeight="true" outlineLevel="0" collapsed="false">
      <c r="A10" s="5" t="s">
        <v>51</v>
      </c>
      <c r="B10" s="15" t="n">
        <f aca="false">FLOOR(B9*Inputs!$B$18,1000)</f>
        <v>3246000</v>
      </c>
    </row>
    <row r="11" customFormat="false" ht="18" hidden="false" customHeight="true" outlineLevel="0" collapsed="false">
      <c r="A11" s="5" t="s">
        <v>21</v>
      </c>
      <c r="B11" s="13" t="n">
        <f aca="false">B10*Inputs!$B$20</f>
        <v>64920</v>
      </c>
    </row>
    <row r="12" customFormat="false" ht="18" hidden="false" customHeight="true" outlineLevel="0" collapsed="false">
      <c r="A12" s="5" t="s">
        <v>61</v>
      </c>
      <c r="B12" s="13" t="n">
        <f aca="false">B9-B10+B11</f>
        <v>876920</v>
      </c>
      <c r="E12" s="9" t="s">
        <v>62</v>
      </c>
    </row>
    <row r="14" customFormat="false" ht="19.5" hidden="false" customHeight="true" outlineLevel="0" collapsed="false">
      <c r="A14" s="3" t="s">
        <v>63</v>
      </c>
      <c r="B14" s="4"/>
      <c r="C14" s="4"/>
      <c r="D14" s="4"/>
      <c r="E14" s="4"/>
    </row>
    <row r="15" customFormat="false" ht="18" hidden="false" customHeight="true" outlineLevel="0" collapsed="false">
      <c r="A15" s="5" t="s">
        <v>53</v>
      </c>
      <c r="B15" s="14" t="n">
        <f aca="false">Inputs!$B$14+Inputs!$B$15</f>
        <v>14</v>
      </c>
    </row>
    <row r="16" customFormat="false" ht="18" hidden="false" customHeight="true" outlineLevel="0" collapsed="false">
      <c r="A16" s="5" t="s">
        <v>64</v>
      </c>
      <c r="B16" s="16" t="n">
        <f aca="false">B10*Inputs!$B$19/12</f>
        <v>28402.5</v>
      </c>
      <c r="E16" s="9" t="s">
        <v>65</v>
      </c>
    </row>
    <row r="17" customFormat="false" ht="18" hidden="false" customHeight="true" outlineLevel="0" collapsed="false">
      <c r="A17" s="5" t="s">
        <v>66</v>
      </c>
      <c r="B17" s="13" t="n">
        <f aca="false">B16*B15</f>
        <v>397635</v>
      </c>
    </row>
    <row r="18" customFormat="false" ht="18" hidden="false" customHeight="true" outlineLevel="0" collapsed="false">
      <c r="A18" s="5" t="s">
        <v>67</v>
      </c>
      <c r="B18" s="15" t="n">
        <f aca="false">B12+B17</f>
        <v>1274555</v>
      </c>
      <c r="E18" s="9" t="s">
        <v>68</v>
      </c>
    </row>
    <row r="19" customFormat="false" ht="18" hidden="false" customHeight="true" outlineLevel="0" collapsed="false">
      <c r="A19" s="5" t="s">
        <v>56</v>
      </c>
      <c r="B19" s="14" t="n">
        <f aca="false">Inputs!$B$21-B15</f>
        <v>4</v>
      </c>
      <c r="E19" s="9" t="s">
        <v>69</v>
      </c>
    </row>
    <row r="21" customFormat="false" ht="19.5" hidden="false" customHeight="true" outlineLevel="0" collapsed="false">
      <c r="A21" s="3" t="s">
        <v>70</v>
      </c>
      <c r="B21" s="4"/>
      <c r="C21" s="4"/>
      <c r="D21" s="4"/>
      <c r="E21" s="4"/>
    </row>
    <row r="22" customFormat="false" ht="18" hidden="false" customHeight="true" outlineLevel="0" collapsed="false">
      <c r="A22" s="5" t="s">
        <v>71</v>
      </c>
      <c r="B22" s="13" t="n">
        <f aca="false">(Inputs!$B$24+Inputs!$B$25)*(1-Inputs!$B$26)</f>
        <v>646000</v>
      </c>
    </row>
    <row r="23" customFormat="false" ht="18" hidden="false" customHeight="true" outlineLevel="0" collapsed="false">
      <c r="A23" s="5" t="s">
        <v>72</v>
      </c>
      <c r="B23" s="13" t="n">
        <f aca="false">-(Inputs!$B$27+Inputs!$B$28*Inputs!$B$8)</f>
        <v>-266000</v>
      </c>
    </row>
    <row r="24" customFormat="false" ht="18" hidden="false" customHeight="true" outlineLevel="0" collapsed="false">
      <c r="A24" s="5" t="s">
        <v>73</v>
      </c>
      <c r="B24" s="15" t="n">
        <f aca="false">B22+B23</f>
        <v>380000</v>
      </c>
    </row>
    <row r="25" customFormat="false" ht="18" hidden="false" customHeight="true" outlineLevel="0" collapsed="false">
      <c r="A25" s="5" t="s">
        <v>74</v>
      </c>
      <c r="B25" s="15" t="n">
        <f aca="false">IF(Inputs!$B$29=0,0,B24/Inputs!$B$29)</f>
        <v>5241379.31034483</v>
      </c>
    </row>
    <row r="26" customFormat="false" ht="18" hidden="false" customHeight="true" outlineLevel="0" collapsed="false">
      <c r="A26" s="5" t="s">
        <v>75</v>
      </c>
      <c r="B26" s="17" t="n">
        <f aca="false">IF(B9=0,0,B25/B9)</f>
        <v>1.29161638993219</v>
      </c>
      <c r="E26" s="9" t="s">
        <v>76</v>
      </c>
    </row>
    <row r="28" customFormat="false" ht="19.5" hidden="false" customHeight="true" outlineLevel="0" collapsed="false">
      <c r="A28" s="3" t="s">
        <v>33</v>
      </c>
      <c r="B28" s="4"/>
      <c r="C28" s="4"/>
      <c r="D28" s="4"/>
      <c r="E28" s="4"/>
    </row>
    <row r="29" customFormat="false" ht="18" hidden="false" customHeight="true" outlineLevel="0" collapsed="false">
      <c r="A29" s="5" t="s">
        <v>77</v>
      </c>
      <c r="B29" s="13" t="n">
        <f aca="false">B25*Inputs!$B$34</f>
        <v>3931034.48275862</v>
      </c>
    </row>
    <row r="30" customFormat="false" ht="18" hidden="false" customHeight="true" outlineLevel="0" collapsed="false">
      <c r="A30" s="5" t="s">
        <v>78</v>
      </c>
      <c r="B30" s="13" t="n">
        <f aca="false">IF(OR(Inputs!$B$35=0,Inputs!$B$32=0),0,PV(Inputs!$B$32/12,Inputs!$B$33*12,-B24/Inputs!$B$35/12))</f>
        <v>4068604.12149135</v>
      </c>
    </row>
    <row r="31" customFormat="false" ht="18" hidden="false" customHeight="true" outlineLevel="0" collapsed="false">
      <c r="A31" s="5" t="s">
        <v>48</v>
      </c>
      <c r="B31" s="15" t="n">
        <f aca="false">FLOOR(MIN(B29,B30),1000)</f>
        <v>3931000</v>
      </c>
      <c r="E31" s="9" t="s">
        <v>79</v>
      </c>
    </row>
    <row r="32" customFormat="false" ht="18" hidden="false" customHeight="true" outlineLevel="0" collapsed="false">
      <c r="A32" s="5" t="s">
        <v>80</v>
      </c>
      <c r="B32" s="12" t="str">
        <f aca="false">IF(B29&lt;=B30,"Value (LTV)","Cash flow (DSCR)")</f>
        <v>Value (LTV)</v>
      </c>
    </row>
    <row r="33" customFormat="false" ht="18" hidden="false" customHeight="true" outlineLevel="0" collapsed="false">
      <c r="A33" s="5" t="s">
        <v>81</v>
      </c>
      <c r="B33" s="16" t="n">
        <f aca="false">IF(Inputs!$B$32=0,B31/(Inputs!$B$33*12),PMT(Inputs!$B$32/12,Inputs!$B$33*12,-B31))</f>
        <v>25496.3911760965</v>
      </c>
    </row>
    <row r="34" customFormat="false" ht="18" hidden="false" customHeight="true" outlineLevel="0" collapsed="false">
      <c r="A34" s="5" t="s">
        <v>82</v>
      </c>
      <c r="B34" s="20" t="n">
        <f aca="false">IF(B33=0,0,B24/(B33*12))</f>
        <v>1.24200583713804</v>
      </c>
    </row>
    <row r="36" customFormat="false" ht="19.5" hidden="false" customHeight="true" outlineLevel="0" collapsed="false">
      <c r="A36" s="3" t="s">
        <v>83</v>
      </c>
      <c r="B36" s="4"/>
      <c r="C36" s="4"/>
      <c r="D36" s="4"/>
      <c r="E36" s="4"/>
    </row>
    <row r="37" customFormat="false" ht="18" hidden="false" customHeight="true" outlineLevel="0" collapsed="false">
      <c r="A37" s="5" t="s">
        <v>48</v>
      </c>
      <c r="B37" s="13" t="n">
        <f aca="false">B31</f>
        <v>3931000</v>
      </c>
    </row>
    <row r="38" customFormat="false" ht="18" hidden="false" customHeight="true" outlineLevel="0" collapsed="false">
      <c r="A38" s="5" t="s">
        <v>84</v>
      </c>
      <c r="B38" s="13" t="n">
        <f aca="false">-B10</f>
        <v>-3246000</v>
      </c>
    </row>
    <row r="39" customFormat="false" ht="18" hidden="false" customHeight="true" outlineLevel="0" collapsed="false">
      <c r="A39" s="5" t="s">
        <v>85</v>
      </c>
      <c r="B39" s="13" t="n">
        <f aca="false">-B31*Inputs!$B$36</f>
        <v>-78620</v>
      </c>
    </row>
    <row r="40" customFormat="false" ht="18" hidden="false" customHeight="true" outlineLevel="0" collapsed="false">
      <c r="A40" s="5" t="s">
        <v>86</v>
      </c>
      <c r="B40" s="15" t="n">
        <f aca="false">SUM(B37:B39)</f>
        <v>606380</v>
      </c>
      <c r="E40" s="9" t="s">
        <v>87</v>
      </c>
    </row>
    <row r="41" customFormat="false" ht="18" hidden="false" customHeight="true" outlineLevel="0" collapsed="false">
      <c r="A41" s="5" t="s">
        <v>54</v>
      </c>
      <c r="B41" s="17" t="n">
        <f aca="false">IF(B18=0,0,B40/B18)</f>
        <v>0.475758205805163</v>
      </c>
    </row>
    <row r="42" customFormat="false" ht="18" hidden="false" customHeight="true" outlineLevel="0" collapsed="false">
      <c r="A42" s="5" t="s">
        <v>88</v>
      </c>
      <c r="B42" s="15" t="n">
        <f aca="false">B18-B40</f>
        <v>668175</v>
      </c>
    </row>
    <row r="44" customFormat="false" ht="19.5" hidden="false" customHeight="true" outlineLevel="0" collapsed="false">
      <c r="A44" s="3" t="s">
        <v>89</v>
      </c>
      <c r="B44" s="4"/>
      <c r="C44" s="4"/>
      <c r="D44" s="4"/>
      <c r="E44" s="4"/>
    </row>
    <row r="45" customFormat="false" ht="15" hidden="false" customHeight="false" outlineLevel="0" collapsed="false">
      <c r="A45" s="21" t="s">
        <v>90</v>
      </c>
      <c r="B45" s="21" t="s">
        <v>46</v>
      </c>
      <c r="C45" s="21" t="s">
        <v>48</v>
      </c>
      <c r="D45" s="21" t="s">
        <v>91</v>
      </c>
    </row>
    <row r="46" customFormat="false" ht="15" hidden="false" customHeight="false" outlineLevel="0" collapsed="false">
      <c r="A46" s="22" t="n">
        <f aca="false">Inputs!$B$29+(-0.01)</f>
        <v>0.0625</v>
      </c>
      <c r="B46" s="23" t="n">
        <f aca="false">IF(A46&lt;=0,0,B24/A46)</f>
        <v>6080000</v>
      </c>
      <c r="C46" s="23" t="n">
        <f aca="false">FLOOR(MIN(B46*Inputs!$B$34,B30),1000)</f>
        <v>4068000</v>
      </c>
      <c r="D46" s="23" t="n">
        <f aca="false">C46-B10-C46*Inputs!$B$36</f>
        <v>740640</v>
      </c>
    </row>
    <row r="47" customFormat="false" ht="15" hidden="false" customHeight="false" outlineLevel="0" collapsed="false">
      <c r="A47" s="24" t="n">
        <f aca="false">Inputs!$B$29+(-0.005)</f>
        <v>0.0675</v>
      </c>
      <c r="B47" s="25" t="n">
        <f aca="false">IF(A47&lt;=0,0,B24/A47)</f>
        <v>5629629.62962963</v>
      </c>
      <c r="C47" s="25" t="n">
        <f aca="false">FLOOR(MIN(B47*Inputs!$B$34,B30),1000)</f>
        <v>4068000</v>
      </c>
      <c r="D47" s="25" t="n">
        <f aca="false">C47-B10-C47*Inputs!$B$36</f>
        <v>740640</v>
      </c>
    </row>
    <row r="48" customFormat="false" ht="15" hidden="false" customHeight="false" outlineLevel="0" collapsed="false">
      <c r="A48" s="22" t="n">
        <f aca="false">Inputs!$B$29+(0)</f>
        <v>0.0725</v>
      </c>
      <c r="B48" s="23" t="n">
        <f aca="false">IF(A48&lt;=0,0,B24/A48)</f>
        <v>5241379.31034483</v>
      </c>
      <c r="C48" s="23" t="n">
        <f aca="false">FLOOR(MIN(B48*Inputs!$B$34,B30),1000)</f>
        <v>3931000</v>
      </c>
      <c r="D48" s="23" t="n">
        <f aca="false">C48-B10-C48*Inputs!$B$36</f>
        <v>606380</v>
      </c>
    </row>
    <row r="49" customFormat="false" ht="15" hidden="false" customHeight="false" outlineLevel="0" collapsed="false">
      <c r="A49" s="24" t="n">
        <f aca="false">Inputs!$B$29+(0.005)</f>
        <v>0.0775</v>
      </c>
      <c r="B49" s="25" t="n">
        <f aca="false">IF(A49&lt;=0,0,B24/A49)</f>
        <v>4903225.80645161</v>
      </c>
      <c r="C49" s="25" t="n">
        <f aca="false">FLOOR(MIN(B49*Inputs!$B$34,B30),1000)</f>
        <v>3677000</v>
      </c>
      <c r="D49" s="25" t="n">
        <f aca="false">C49-B10-C49*Inputs!$B$36</f>
        <v>357460</v>
      </c>
    </row>
    <row r="50" customFormat="false" ht="15" hidden="false" customHeight="false" outlineLevel="0" collapsed="false">
      <c r="A50" s="22" t="n">
        <f aca="false">Inputs!$B$29+(0.01)</f>
        <v>0.0825</v>
      </c>
      <c r="B50" s="23" t="n">
        <f aca="false">IF(A50&lt;=0,0,B24/A50)</f>
        <v>4606060.60606061</v>
      </c>
      <c r="C50" s="23" t="n">
        <f aca="false">FLOOR(MIN(B50*Inputs!$B$34,B30),1000)</f>
        <v>3454000</v>
      </c>
      <c r="D50" s="23" t="n">
        <f aca="false">C50-B10-C50*Inputs!$B$36</f>
        <v>138920</v>
      </c>
    </row>
    <row r="51" customFormat="false" ht="15" hidden="false" customHeight="false" outlineLevel="0" collapsed="false">
      <c r="A51" s="26" t="s">
        <v>92</v>
      </c>
    </row>
    <row r="53" customFormat="false" ht="30" hidden="false" customHeight="true" outlineLevel="0" collapsed="false">
      <c r="A53" s="2" t="s">
        <v>39</v>
      </c>
      <c r="B53" s="2"/>
      <c r="C53" s="2"/>
      <c r="D53" s="2"/>
      <c r="E53" s="2"/>
    </row>
  </sheetData>
  <mergeCells count="3">
    <mergeCell ref="A1:E1"/>
    <mergeCell ref="A3:E3"/>
    <mergeCell ref="A53:E53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F67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5" topLeftCell="A6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8"/>
    <col collapsed="false" customWidth="true" hidden="false" outlineLevel="0" max="2" min="2" style="0" width="16"/>
    <col collapsed="false" customWidth="true" hidden="false" outlineLevel="0" max="5" min="3" style="0" width="18"/>
    <col collapsed="false" customWidth="true" hidden="false" outlineLevel="0" max="6" min="6" style="0" width="20"/>
  </cols>
  <sheetData>
    <row r="1" customFormat="false" ht="30" hidden="false" customHeight="true" outlineLevel="0" collapsed="false">
      <c r="A1" s="1" t="s">
        <v>93</v>
      </c>
      <c r="B1" s="1"/>
      <c r="C1" s="1"/>
      <c r="D1" s="1"/>
      <c r="E1" s="1"/>
      <c r="F1" s="1"/>
    </row>
    <row r="3" customFormat="false" ht="30" hidden="false" customHeight="true" outlineLevel="0" collapsed="false">
      <c r="A3" s="2" t="s">
        <v>94</v>
      </c>
      <c r="B3" s="2"/>
      <c r="C3" s="2"/>
      <c r="D3" s="2"/>
      <c r="E3" s="2"/>
      <c r="F3" s="2"/>
    </row>
    <row r="5" customFormat="false" ht="31.5" hidden="false" customHeight="true" outlineLevel="0" collapsed="false">
      <c r="A5" s="27" t="s">
        <v>95</v>
      </c>
      <c r="B5" s="27" t="s">
        <v>96</v>
      </c>
      <c r="C5" s="27" t="s">
        <v>97</v>
      </c>
      <c r="D5" s="27" t="s">
        <v>98</v>
      </c>
      <c r="E5" s="27" t="s">
        <v>99</v>
      </c>
      <c r="F5" s="27" t="s">
        <v>100</v>
      </c>
    </row>
    <row r="6" customFormat="false" ht="15" hidden="false" customHeight="false" outlineLevel="0" collapsed="false">
      <c r="A6" s="28" t="n">
        <v>1</v>
      </c>
      <c r="B6" s="29" t="str">
        <f aca="false">IF(1&lt;=Inputs!$B$14,"Renovation",IF(1&lt;=Inputs!$B$14+Inputs!$B$15,"Lease-up",IF(1&lt;=Inputs!$B$21,"Stabilized","Past maturity")))</f>
        <v>Renovation</v>
      </c>
      <c r="C6" s="23" t="n">
        <f aca="false">IF(1&lt;=Inputs!$B$21,Takeout!$B$10,0)</f>
        <v>3246000</v>
      </c>
      <c r="D6" s="23" t="n">
        <f aca="false">C6*Inputs!$B$19/12</f>
        <v>28402.5</v>
      </c>
      <c r="E6" s="23" t="n">
        <f aca="false">D6</f>
        <v>28402.5</v>
      </c>
      <c r="F6" s="28" t="n">
        <f aca="false">MAX(0,Inputs!$B$21-1)</f>
        <v>17</v>
      </c>
    </row>
    <row r="7" customFormat="false" ht="15" hidden="false" customHeight="false" outlineLevel="0" collapsed="false">
      <c r="A7" s="30" t="n">
        <v>2</v>
      </c>
      <c r="B7" s="31" t="str">
        <f aca="false">IF(2&lt;=Inputs!$B$14,"Renovation",IF(2&lt;=Inputs!$B$14+Inputs!$B$15,"Lease-up",IF(2&lt;=Inputs!$B$21,"Stabilized","Past maturity")))</f>
        <v>Renovation</v>
      </c>
      <c r="C7" s="25" t="n">
        <f aca="false">IF(2&lt;=Inputs!$B$21,Takeout!$B$10,0)</f>
        <v>3246000</v>
      </c>
      <c r="D7" s="25" t="n">
        <f aca="false">C7*Inputs!$B$19/12</f>
        <v>28402.5</v>
      </c>
      <c r="E7" s="25" t="n">
        <f aca="false">E6+D7</f>
        <v>56805</v>
      </c>
      <c r="F7" s="30" t="n">
        <f aca="false">MAX(0,Inputs!$B$21-2)</f>
        <v>16</v>
      </c>
    </row>
    <row r="8" customFormat="false" ht="15" hidden="false" customHeight="false" outlineLevel="0" collapsed="false">
      <c r="A8" s="28" t="n">
        <v>3</v>
      </c>
      <c r="B8" s="29" t="str">
        <f aca="false">IF(3&lt;=Inputs!$B$14,"Renovation",IF(3&lt;=Inputs!$B$14+Inputs!$B$15,"Lease-up",IF(3&lt;=Inputs!$B$21,"Stabilized","Past maturity")))</f>
        <v>Renovation</v>
      </c>
      <c r="C8" s="23" t="n">
        <f aca="false">IF(3&lt;=Inputs!$B$21,Takeout!$B$10,0)</f>
        <v>3246000</v>
      </c>
      <c r="D8" s="23" t="n">
        <f aca="false">C8*Inputs!$B$19/12</f>
        <v>28402.5</v>
      </c>
      <c r="E8" s="23" t="n">
        <f aca="false">E7+D8</f>
        <v>85207.5</v>
      </c>
      <c r="F8" s="28" t="n">
        <f aca="false">MAX(0,Inputs!$B$21-3)</f>
        <v>15</v>
      </c>
    </row>
    <row r="9" customFormat="false" ht="15" hidden="false" customHeight="false" outlineLevel="0" collapsed="false">
      <c r="A9" s="30" t="n">
        <v>4</v>
      </c>
      <c r="B9" s="31" t="str">
        <f aca="false">IF(4&lt;=Inputs!$B$14,"Renovation",IF(4&lt;=Inputs!$B$14+Inputs!$B$15,"Lease-up",IF(4&lt;=Inputs!$B$21,"Stabilized","Past maturity")))</f>
        <v>Renovation</v>
      </c>
      <c r="C9" s="25" t="n">
        <f aca="false">IF(4&lt;=Inputs!$B$21,Takeout!$B$10,0)</f>
        <v>3246000</v>
      </c>
      <c r="D9" s="25" t="n">
        <f aca="false">C9*Inputs!$B$19/12</f>
        <v>28402.5</v>
      </c>
      <c r="E9" s="25" t="n">
        <f aca="false">E8+D9</f>
        <v>113610</v>
      </c>
      <c r="F9" s="30" t="n">
        <f aca="false">MAX(0,Inputs!$B$21-4)</f>
        <v>14</v>
      </c>
    </row>
    <row r="10" customFormat="false" ht="15" hidden="false" customHeight="false" outlineLevel="0" collapsed="false">
      <c r="A10" s="28" t="n">
        <v>5</v>
      </c>
      <c r="B10" s="29" t="str">
        <f aca="false">IF(5&lt;=Inputs!$B$14,"Renovation",IF(5&lt;=Inputs!$B$14+Inputs!$B$15,"Lease-up",IF(5&lt;=Inputs!$B$21,"Stabilized","Past maturity")))</f>
        <v>Renovation</v>
      </c>
      <c r="C10" s="23" t="n">
        <f aca="false">IF(5&lt;=Inputs!$B$21,Takeout!$B$10,0)</f>
        <v>3246000</v>
      </c>
      <c r="D10" s="23" t="n">
        <f aca="false">C10*Inputs!$B$19/12</f>
        <v>28402.5</v>
      </c>
      <c r="E10" s="23" t="n">
        <f aca="false">E9+D10</f>
        <v>142012.5</v>
      </c>
      <c r="F10" s="28" t="n">
        <f aca="false">MAX(0,Inputs!$B$21-5)</f>
        <v>13</v>
      </c>
    </row>
    <row r="11" customFormat="false" ht="15" hidden="false" customHeight="false" outlineLevel="0" collapsed="false">
      <c r="A11" s="30" t="n">
        <v>6</v>
      </c>
      <c r="B11" s="31" t="str">
        <f aca="false">IF(6&lt;=Inputs!$B$14,"Renovation",IF(6&lt;=Inputs!$B$14+Inputs!$B$15,"Lease-up",IF(6&lt;=Inputs!$B$21,"Stabilized","Past maturity")))</f>
        <v>Renovation</v>
      </c>
      <c r="C11" s="25" t="n">
        <f aca="false">IF(6&lt;=Inputs!$B$21,Takeout!$B$10,0)</f>
        <v>3246000</v>
      </c>
      <c r="D11" s="25" t="n">
        <f aca="false">C11*Inputs!$B$19/12</f>
        <v>28402.5</v>
      </c>
      <c r="E11" s="25" t="n">
        <f aca="false">E10+D11</f>
        <v>170415</v>
      </c>
      <c r="F11" s="30" t="n">
        <f aca="false">MAX(0,Inputs!$B$21-6)</f>
        <v>12</v>
      </c>
    </row>
    <row r="12" customFormat="false" ht="15" hidden="false" customHeight="false" outlineLevel="0" collapsed="false">
      <c r="A12" s="28" t="n">
        <v>7</v>
      </c>
      <c r="B12" s="29" t="str">
        <f aca="false">IF(7&lt;=Inputs!$B$14,"Renovation",IF(7&lt;=Inputs!$B$14+Inputs!$B$15,"Lease-up",IF(7&lt;=Inputs!$B$21,"Stabilized","Past maturity")))</f>
        <v>Renovation</v>
      </c>
      <c r="C12" s="23" t="n">
        <f aca="false">IF(7&lt;=Inputs!$B$21,Takeout!$B$10,0)</f>
        <v>3246000</v>
      </c>
      <c r="D12" s="23" t="n">
        <f aca="false">C12*Inputs!$B$19/12</f>
        <v>28402.5</v>
      </c>
      <c r="E12" s="23" t="n">
        <f aca="false">E11+D12</f>
        <v>198817.5</v>
      </c>
      <c r="F12" s="28" t="n">
        <f aca="false">MAX(0,Inputs!$B$21-7)</f>
        <v>11</v>
      </c>
    </row>
    <row r="13" customFormat="false" ht="15" hidden="false" customHeight="false" outlineLevel="0" collapsed="false">
      <c r="A13" s="30" t="n">
        <v>8</v>
      </c>
      <c r="B13" s="31" t="str">
        <f aca="false">IF(8&lt;=Inputs!$B$14,"Renovation",IF(8&lt;=Inputs!$B$14+Inputs!$B$15,"Lease-up",IF(8&lt;=Inputs!$B$21,"Stabilized","Past maturity")))</f>
        <v>Renovation</v>
      </c>
      <c r="C13" s="25" t="n">
        <f aca="false">IF(8&lt;=Inputs!$B$21,Takeout!$B$10,0)</f>
        <v>3246000</v>
      </c>
      <c r="D13" s="25" t="n">
        <f aca="false">C13*Inputs!$B$19/12</f>
        <v>28402.5</v>
      </c>
      <c r="E13" s="25" t="n">
        <f aca="false">E12+D13</f>
        <v>227220</v>
      </c>
      <c r="F13" s="30" t="n">
        <f aca="false">MAX(0,Inputs!$B$21-8)</f>
        <v>10</v>
      </c>
    </row>
    <row r="14" customFormat="false" ht="15" hidden="false" customHeight="false" outlineLevel="0" collapsed="false">
      <c r="A14" s="28" t="n">
        <v>9</v>
      </c>
      <c r="B14" s="29" t="str">
        <f aca="false">IF(9&lt;=Inputs!$B$14,"Renovation",IF(9&lt;=Inputs!$B$14+Inputs!$B$15,"Lease-up",IF(9&lt;=Inputs!$B$21,"Stabilized","Past maturity")))</f>
        <v>Lease-up</v>
      </c>
      <c r="C14" s="23" t="n">
        <f aca="false">IF(9&lt;=Inputs!$B$21,Takeout!$B$10,0)</f>
        <v>3246000</v>
      </c>
      <c r="D14" s="23" t="n">
        <f aca="false">C14*Inputs!$B$19/12</f>
        <v>28402.5</v>
      </c>
      <c r="E14" s="23" t="n">
        <f aca="false">E13+D14</f>
        <v>255622.5</v>
      </c>
      <c r="F14" s="28" t="n">
        <f aca="false">MAX(0,Inputs!$B$21-9)</f>
        <v>9</v>
      </c>
    </row>
    <row r="15" customFormat="false" ht="15" hidden="false" customHeight="false" outlineLevel="0" collapsed="false">
      <c r="A15" s="30" t="n">
        <v>10</v>
      </c>
      <c r="B15" s="31" t="str">
        <f aca="false">IF(10&lt;=Inputs!$B$14,"Renovation",IF(10&lt;=Inputs!$B$14+Inputs!$B$15,"Lease-up",IF(10&lt;=Inputs!$B$21,"Stabilized","Past maturity")))</f>
        <v>Lease-up</v>
      </c>
      <c r="C15" s="25" t="n">
        <f aca="false">IF(10&lt;=Inputs!$B$21,Takeout!$B$10,0)</f>
        <v>3246000</v>
      </c>
      <c r="D15" s="25" t="n">
        <f aca="false">C15*Inputs!$B$19/12</f>
        <v>28402.5</v>
      </c>
      <c r="E15" s="25" t="n">
        <f aca="false">E14+D15</f>
        <v>284025</v>
      </c>
      <c r="F15" s="30" t="n">
        <f aca="false">MAX(0,Inputs!$B$21-10)</f>
        <v>8</v>
      </c>
    </row>
    <row r="16" customFormat="false" ht="15" hidden="false" customHeight="false" outlineLevel="0" collapsed="false">
      <c r="A16" s="28" t="n">
        <v>11</v>
      </c>
      <c r="B16" s="29" t="str">
        <f aca="false">IF(11&lt;=Inputs!$B$14,"Renovation",IF(11&lt;=Inputs!$B$14+Inputs!$B$15,"Lease-up",IF(11&lt;=Inputs!$B$21,"Stabilized","Past maturity")))</f>
        <v>Lease-up</v>
      </c>
      <c r="C16" s="23" t="n">
        <f aca="false">IF(11&lt;=Inputs!$B$21,Takeout!$B$10,0)</f>
        <v>3246000</v>
      </c>
      <c r="D16" s="23" t="n">
        <f aca="false">C16*Inputs!$B$19/12</f>
        <v>28402.5</v>
      </c>
      <c r="E16" s="23" t="n">
        <f aca="false">E15+D16</f>
        <v>312427.5</v>
      </c>
      <c r="F16" s="28" t="n">
        <f aca="false">MAX(0,Inputs!$B$21-11)</f>
        <v>7</v>
      </c>
    </row>
    <row r="17" customFormat="false" ht="15" hidden="false" customHeight="false" outlineLevel="0" collapsed="false">
      <c r="A17" s="30" t="n">
        <v>12</v>
      </c>
      <c r="B17" s="31" t="str">
        <f aca="false">IF(12&lt;=Inputs!$B$14,"Renovation",IF(12&lt;=Inputs!$B$14+Inputs!$B$15,"Lease-up",IF(12&lt;=Inputs!$B$21,"Stabilized","Past maturity")))</f>
        <v>Lease-up</v>
      </c>
      <c r="C17" s="25" t="n">
        <f aca="false">IF(12&lt;=Inputs!$B$21,Takeout!$B$10,0)</f>
        <v>3246000</v>
      </c>
      <c r="D17" s="25" t="n">
        <f aca="false">C17*Inputs!$B$19/12</f>
        <v>28402.5</v>
      </c>
      <c r="E17" s="25" t="n">
        <f aca="false">E16+D17</f>
        <v>340830</v>
      </c>
      <c r="F17" s="30" t="n">
        <f aca="false">MAX(0,Inputs!$B$21-12)</f>
        <v>6</v>
      </c>
    </row>
    <row r="18" customFormat="false" ht="15" hidden="false" customHeight="false" outlineLevel="0" collapsed="false">
      <c r="A18" s="28" t="n">
        <v>13</v>
      </c>
      <c r="B18" s="29" t="str">
        <f aca="false">IF(13&lt;=Inputs!$B$14,"Renovation",IF(13&lt;=Inputs!$B$14+Inputs!$B$15,"Lease-up",IF(13&lt;=Inputs!$B$21,"Stabilized","Past maturity")))</f>
        <v>Lease-up</v>
      </c>
      <c r="C18" s="23" t="n">
        <f aca="false">IF(13&lt;=Inputs!$B$21,Takeout!$B$10,0)</f>
        <v>3246000</v>
      </c>
      <c r="D18" s="23" t="n">
        <f aca="false">C18*Inputs!$B$19/12</f>
        <v>28402.5</v>
      </c>
      <c r="E18" s="23" t="n">
        <f aca="false">E17+D18</f>
        <v>369232.5</v>
      </c>
      <c r="F18" s="28" t="n">
        <f aca="false">MAX(0,Inputs!$B$21-13)</f>
        <v>5</v>
      </c>
    </row>
    <row r="19" customFormat="false" ht="15" hidden="false" customHeight="false" outlineLevel="0" collapsed="false">
      <c r="A19" s="30" t="n">
        <v>14</v>
      </c>
      <c r="B19" s="31" t="str">
        <f aca="false">IF(14&lt;=Inputs!$B$14,"Renovation",IF(14&lt;=Inputs!$B$14+Inputs!$B$15,"Lease-up",IF(14&lt;=Inputs!$B$21,"Stabilized","Past maturity")))</f>
        <v>Lease-up</v>
      </c>
      <c r="C19" s="25" t="n">
        <f aca="false">IF(14&lt;=Inputs!$B$21,Takeout!$B$10,0)</f>
        <v>3246000</v>
      </c>
      <c r="D19" s="25" t="n">
        <f aca="false">C19*Inputs!$B$19/12</f>
        <v>28402.5</v>
      </c>
      <c r="E19" s="25" t="n">
        <f aca="false">E18+D19</f>
        <v>397635</v>
      </c>
      <c r="F19" s="30" t="n">
        <f aca="false">MAX(0,Inputs!$B$21-14)</f>
        <v>4</v>
      </c>
    </row>
    <row r="20" customFormat="false" ht="15" hidden="false" customHeight="false" outlineLevel="0" collapsed="false">
      <c r="A20" s="28" t="n">
        <v>15</v>
      </c>
      <c r="B20" s="29" t="str">
        <f aca="false">IF(15&lt;=Inputs!$B$14,"Renovation",IF(15&lt;=Inputs!$B$14+Inputs!$B$15,"Lease-up",IF(15&lt;=Inputs!$B$21,"Stabilized","Past maturity")))</f>
        <v>Stabilized</v>
      </c>
      <c r="C20" s="23" t="n">
        <f aca="false">IF(15&lt;=Inputs!$B$21,Takeout!$B$10,0)</f>
        <v>3246000</v>
      </c>
      <c r="D20" s="23" t="n">
        <f aca="false">C20*Inputs!$B$19/12</f>
        <v>28402.5</v>
      </c>
      <c r="E20" s="23" t="n">
        <f aca="false">E19+D20</f>
        <v>426037.5</v>
      </c>
      <c r="F20" s="28" t="n">
        <f aca="false">MAX(0,Inputs!$B$21-15)</f>
        <v>3</v>
      </c>
    </row>
    <row r="21" customFormat="false" ht="15" hidden="false" customHeight="false" outlineLevel="0" collapsed="false">
      <c r="A21" s="30" t="n">
        <v>16</v>
      </c>
      <c r="B21" s="31" t="str">
        <f aca="false">IF(16&lt;=Inputs!$B$14,"Renovation",IF(16&lt;=Inputs!$B$14+Inputs!$B$15,"Lease-up",IF(16&lt;=Inputs!$B$21,"Stabilized","Past maturity")))</f>
        <v>Stabilized</v>
      </c>
      <c r="C21" s="25" t="n">
        <f aca="false">IF(16&lt;=Inputs!$B$21,Takeout!$B$10,0)</f>
        <v>3246000</v>
      </c>
      <c r="D21" s="25" t="n">
        <f aca="false">C21*Inputs!$B$19/12</f>
        <v>28402.5</v>
      </c>
      <c r="E21" s="25" t="n">
        <f aca="false">E20+D21</f>
        <v>454440</v>
      </c>
      <c r="F21" s="30" t="n">
        <f aca="false">MAX(0,Inputs!$B$21-16)</f>
        <v>2</v>
      </c>
    </row>
    <row r="22" customFormat="false" ht="15" hidden="false" customHeight="false" outlineLevel="0" collapsed="false">
      <c r="A22" s="28" t="n">
        <v>17</v>
      </c>
      <c r="B22" s="29" t="str">
        <f aca="false">IF(17&lt;=Inputs!$B$14,"Renovation",IF(17&lt;=Inputs!$B$14+Inputs!$B$15,"Lease-up",IF(17&lt;=Inputs!$B$21,"Stabilized","Past maturity")))</f>
        <v>Stabilized</v>
      </c>
      <c r="C22" s="23" t="n">
        <f aca="false">IF(17&lt;=Inputs!$B$21,Takeout!$B$10,0)</f>
        <v>3246000</v>
      </c>
      <c r="D22" s="23" t="n">
        <f aca="false">C22*Inputs!$B$19/12</f>
        <v>28402.5</v>
      </c>
      <c r="E22" s="23" t="n">
        <f aca="false">E21+D22</f>
        <v>482842.5</v>
      </c>
      <c r="F22" s="28" t="n">
        <f aca="false">MAX(0,Inputs!$B$21-17)</f>
        <v>1</v>
      </c>
    </row>
    <row r="23" customFormat="false" ht="15" hidden="false" customHeight="false" outlineLevel="0" collapsed="false">
      <c r="A23" s="30" t="n">
        <v>18</v>
      </c>
      <c r="B23" s="31" t="str">
        <f aca="false">IF(18&lt;=Inputs!$B$14,"Renovation",IF(18&lt;=Inputs!$B$14+Inputs!$B$15,"Lease-up",IF(18&lt;=Inputs!$B$21,"Stabilized","Past maturity")))</f>
        <v>Stabilized</v>
      </c>
      <c r="C23" s="25" t="n">
        <f aca="false">IF(18&lt;=Inputs!$B$21,Takeout!$B$10,0)</f>
        <v>3246000</v>
      </c>
      <c r="D23" s="25" t="n">
        <f aca="false">C23*Inputs!$B$19/12</f>
        <v>28402.5</v>
      </c>
      <c r="E23" s="25" t="n">
        <f aca="false">E22+D23</f>
        <v>511245</v>
      </c>
      <c r="F23" s="30" t="n">
        <f aca="false">MAX(0,Inputs!$B$21-18)</f>
        <v>0</v>
      </c>
    </row>
    <row r="24" customFormat="false" ht="15" hidden="false" customHeight="false" outlineLevel="0" collapsed="false">
      <c r="A24" s="28" t="n">
        <v>19</v>
      </c>
      <c r="B24" s="29" t="str">
        <f aca="false">IF(19&lt;=Inputs!$B$14,"Renovation",IF(19&lt;=Inputs!$B$14+Inputs!$B$15,"Lease-up",IF(19&lt;=Inputs!$B$21,"Stabilized","Past maturity")))</f>
        <v>Past maturity</v>
      </c>
      <c r="C24" s="23" t="n">
        <f aca="false">IF(19&lt;=Inputs!$B$21,Takeout!$B$10,0)</f>
        <v>0</v>
      </c>
      <c r="D24" s="23" t="n">
        <f aca="false">C24*Inputs!$B$19/12</f>
        <v>0</v>
      </c>
      <c r="E24" s="23" t="n">
        <f aca="false">E23+D24</f>
        <v>511245</v>
      </c>
      <c r="F24" s="28" t="n">
        <f aca="false">MAX(0,Inputs!$B$21-19)</f>
        <v>0</v>
      </c>
    </row>
    <row r="25" customFormat="false" ht="15" hidden="false" customHeight="false" outlineLevel="0" collapsed="false">
      <c r="A25" s="30" t="n">
        <v>20</v>
      </c>
      <c r="B25" s="31" t="str">
        <f aca="false">IF(20&lt;=Inputs!$B$14,"Renovation",IF(20&lt;=Inputs!$B$14+Inputs!$B$15,"Lease-up",IF(20&lt;=Inputs!$B$21,"Stabilized","Past maturity")))</f>
        <v>Past maturity</v>
      </c>
      <c r="C25" s="25" t="n">
        <f aca="false">IF(20&lt;=Inputs!$B$21,Takeout!$B$10,0)</f>
        <v>0</v>
      </c>
      <c r="D25" s="25" t="n">
        <f aca="false">C25*Inputs!$B$19/12</f>
        <v>0</v>
      </c>
      <c r="E25" s="25" t="n">
        <f aca="false">E24+D25</f>
        <v>511245</v>
      </c>
      <c r="F25" s="30" t="n">
        <f aca="false">MAX(0,Inputs!$B$21-20)</f>
        <v>0</v>
      </c>
    </row>
    <row r="26" customFormat="false" ht="15" hidden="false" customHeight="false" outlineLevel="0" collapsed="false">
      <c r="A26" s="28" t="n">
        <v>21</v>
      </c>
      <c r="B26" s="29" t="str">
        <f aca="false">IF(21&lt;=Inputs!$B$14,"Renovation",IF(21&lt;=Inputs!$B$14+Inputs!$B$15,"Lease-up",IF(21&lt;=Inputs!$B$21,"Stabilized","Past maturity")))</f>
        <v>Past maturity</v>
      </c>
      <c r="C26" s="23" t="n">
        <f aca="false">IF(21&lt;=Inputs!$B$21,Takeout!$B$10,0)</f>
        <v>0</v>
      </c>
      <c r="D26" s="23" t="n">
        <f aca="false">C26*Inputs!$B$19/12</f>
        <v>0</v>
      </c>
      <c r="E26" s="23" t="n">
        <f aca="false">E25+D26</f>
        <v>511245</v>
      </c>
      <c r="F26" s="28" t="n">
        <f aca="false">MAX(0,Inputs!$B$21-21)</f>
        <v>0</v>
      </c>
    </row>
    <row r="27" customFormat="false" ht="15" hidden="false" customHeight="false" outlineLevel="0" collapsed="false">
      <c r="A27" s="30" t="n">
        <v>22</v>
      </c>
      <c r="B27" s="31" t="str">
        <f aca="false">IF(22&lt;=Inputs!$B$14,"Renovation",IF(22&lt;=Inputs!$B$14+Inputs!$B$15,"Lease-up",IF(22&lt;=Inputs!$B$21,"Stabilized","Past maturity")))</f>
        <v>Past maturity</v>
      </c>
      <c r="C27" s="25" t="n">
        <f aca="false">IF(22&lt;=Inputs!$B$21,Takeout!$B$10,0)</f>
        <v>0</v>
      </c>
      <c r="D27" s="25" t="n">
        <f aca="false">C27*Inputs!$B$19/12</f>
        <v>0</v>
      </c>
      <c r="E27" s="25" t="n">
        <f aca="false">E26+D27</f>
        <v>511245</v>
      </c>
      <c r="F27" s="30" t="n">
        <f aca="false">MAX(0,Inputs!$B$21-22)</f>
        <v>0</v>
      </c>
    </row>
    <row r="28" customFormat="false" ht="15" hidden="false" customHeight="false" outlineLevel="0" collapsed="false">
      <c r="A28" s="28" t="n">
        <v>23</v>
      </c>
      <c r="B28" s="29" t="str">
        <f aca="false">IF(23&lt;=Inputs!$B$14,"Renovation",IF(23&lt;=Inputs!$B$14+Inputs!$B$15,"Lease-up",IF(23&lt;=Inputs!$B$21,"Stabilized","Past maturity")))</f>
        <v>Past maturity</v>
      </c>
      <c r="C28" s="23" t="n">
        <f aca="false">IF(23&lt;=Inputs!$B$21,Takeout!$B$10,0)</f>
        <v>0</v>
      </c>
      <c r="D28" s="23" t="n">
        <f aca="false">C28*Inputs!$B$19/12</f>
        <v>0</v>
      </c>
      <c r="E28" s="23" t="n">
        <f aca="false">E27+D28</f>
        <v>511245</v>
      </c>
      <c r="F28" s="28" t="n">
        <f aca="false">MAX(0,Inputs!$B$21-23)</f>
        <v>0</v>
      </c>
    </row>
    <row r="29" customFormat="false" ht="15" hidden="false" customHeight="false" outlineLevel="0" collapsed="false">
      <c r="A29" s="30" t="n">
        <v>24</v>
      </c>
      <c r="B29" s="31" t="str">
        <f aca="false">IF(24&lt;=Inputs!$B$14,"Renovation",IF(24&lt;=Inputs!$B$14+Inputs!$B$15,"Lease-up",IF(24&lt;=Inputs!$B$21,"Stabilized","Past maturity")))</f>
        <v>Past maturity</v>
      </c>
      <c r="C29" s="25" t="n">
        <f aca="false">IF(24&lt;=Inputs!$B$21,Takeout!$B$10,0)</f>
        <v>0</v>
      </c>
      <c r="D29" s="25" t="n">
        <f aca="false">C29*Inputs!$B$19/12</f>
        <v>0</v>
      </c>
      <c r="E29" s="25" t="n">
        <f aca="false">E28+D29</f>
        <v>511245</v>
      </c>
      <c r="F29" s="30" t="n">
        <f aca="false">MAX(0,Inputs!$B$21-24)</f>
        <v>0</v>
      </c>
    </row>
    <row r="30" customFormat="false" ht="15" hidden="false" customHeight="false" outlineLevel="0" collapsed="false">
      <c r="A30" s="28" t="n">
        <v>25</v>
      </c>
      <c r="B30" s="29" t="str">
        <f aca="false">IF(25&lt;=Inputs!$B$14,"Renovation",IF(25&lt;=Inputs!$B$14+Inputs!$B$15,"Lease-up",IF(25&lt;=Inputs!$B$21,"Stabilized","Past maturity")))</f>
        <v>Past maturity</v>
      </c>
      <c r="C30" s="23" t="n">
        <f aca="false">IF(25&lt;=Inputs!$B$21,Takeout!$B$10,0)</f>
        <v>0</v>
      </c>
      <c r="D30" s="23" t="n">
        <f aca="false">C30*Inputs!$B$19/12</f>
        <v>0</v>
      </c>
      <c r="E30" s="23" t="n">
        <f aca="false">E29+D30</f>
        <v>511245</v>
      </c>
      <c r="F30" s="28" t="n">
        <f aca="false">MAX(0,Inputs!$B$21-25)</f>
        <v>0</v>
      </c>
    </row>
    <row r="31" customFormat="false" ht="15" hidden="false" customHeight="false" outlineLevel="0" collapsed="false">
      <c r="A31" s="30" t="n">
        <v>26</v>
      </c>
      <c r="B31" s="31" t="str">
        <f aca="false">IF(26&lt;=Inputs!$B$14,"Renovation",IF(26&lt;=Inputs!$B$14+Inputs!$B$15,"Lease-up",IF(26&lt;=Inputs!$B$21,"Stabilized","Past maturity")))</f>
        <v>Past maturity</v>
      </c>
      <c r="C31" s="25" t="n">
        <f aca="false">IF(26&lt;=Inputs!$B$21,Takeout!$B$10,0)</f>
        <v>0</v>
      </c>
      <c r="D31" s="25" t="n">
        <f aca="false">C31*Inputs!$B$19/12</f>
        <v>0</v>
      </c>
      <c r="E31" s="25" t="n">
        <f aca="false">E30+D31</f>
        <v>511245</v>
      </c>
      <c r="F31" s="30" t="n">
        <f aca="false">MAX(0,Inputs!$B$21-26)</f>
        <v>0</v>
      </c>
    </row>
    <row r="32" customFormat="false" ht="15" hidden="false" customHeight="false" outlineLevel="0" collapsed="false">
      <c r="A32" s="28" t="n">
        <v>27</v>
      </c>
      <c r="B32" s="29" t="str">
        <f aca="false">IF(27&lt;=Inputs!$B$14,"Renovation",IF(27&lt;=Inputs!$B$14+Inputs!$B$15,"Lease-up",IF(27&lt;=Inputs!$B$21,"Stabilized","Past maturity")))</f>
        <v>Past maturity</v>
      </c>
      <c r="C32" s="23" t="n">
        <f aca="false">IF(27&lt;=Inputs!$B$21,Takeout!$B$10,0)</f>
        <v>0</v>
      </c>
      <c r="D32" s="23" t="n">
        <f aca="false">C32*Inputs!$B$19/12</f>
        <v>0</v>
      </c>
      <c r="E32" s="23" t="n">
        <f aca="false">E31+D32</f>
        <v>511245</v>
      </c>
      <c r="F32" s="28" t="n">
        <f aca="false">MAX(0,Inputs!$B$21-27)</f>
        <v>0</v>
      </c>
    </row>
    <row r="33" customFormat="false" ht="15" hidden="false" customHeight="false" outlineLevel="0" collapsed="false">
      <c r="A33" s="30" t="n">
        <v>28</v>
      </c>
      <c r="B33" s="31" t="str">
        <f aca="false">IF(28&lt;=Inputs!$B$14,"Renovation",IF(28&lt;=Inputs!$B$14+Inputs!$B$15,"Lease-up",IF(28&lt;=Inputs!$B$21,"Stabilized","Past maturity")))</f>
        <v>Past maturity</v>
      </c>
      <c r="C33" s="25" t="n">
        <f aca="false">IF(28&lt;=Inputs!$B$21,Takeout!$B$10,0)</f>
        <v>0</v>
      </c>
      <c r="D33" s="25" t="n">
        <f aca="false">C33*Inputs!$B$19/12</f>
        <v>0</v>
      </c>
      <c r="E33" s="25" t="n">
        <f aca="false">E32+D33</f>
        <v>511245</v>
      </c>
      <c r="F33" s="30" t="n">
        <f aca="false">MAX(0,Inputs!$B$21-28)</f>
        <v>0</v>
      </c>
    </row>
    <row r="34" customFormat="false" ht="15" hidden="false" customHeight="false" outlineLevel="0" collapsed="false">
      <c r="A34" s="28" t="n">
        <v>29</v>
      </c>
      <c r="B34" s="29" t="str">
        <f aca="false">IF(29&lt;=Inputs!$B$14,"Renovation",IF(29&lt;=Inputs!$B$14+Inputs!$B$15,"Lease-up",IF(29&lt;=Inputs!$B$21,"Stabilized","Past maturity")))</f>
        <v>Past maturity</v>
      </c>
      <c r="C34" s="23" t="n">
        <f aca="false">IF(29&lt;=Inputs!$B$21,Takeout!$B$10,0)</f>
        <v>0</v>
      </c>
      <c r="D34" s="23" t="n">
        <f aca="false">C34*Inputs!$B$19/12</f>
        <v>0</v>
      </c>
      <c r="E34" s="23" t="n">
        <f aca="false">E33+D34</f>
        <v>511245</v>
      </c>
      <c r="F34" s="28" t="n">
        <f aca="false">MAX(0,Inputs!$B$21-29)</f>
        <v>0</v>
      </c>
    </row>
    <row r="35" customFormat="false" ht="15" hidden="false" customHeight="false" outlineLevel="0" collapsed="false">
      <c r="A35" s="30" t="n">
        <v>30</v>
      </c>
      <c r="B35" s="31" t="str">
        <f aca="false">IF(30&lt;=Inputs!$B$14,"Renovation",IF(30&lt;=Inputs!$B$14+Inputs!$B$15,"Lease-up",IF(30&lt;=Inputs!$B$21,"Stabilized","Past maturity")))</f>
        <v>Past maturity</v>
      </c>
      <c r="C35" s="25" t="n">
        <f aca="false">IF(30&lt;=Inputs!$B$21,Takeout!$B$10,0)</f>
        <v>0</v>
      </c>
      <c r="D35" s="25" t="n">
        <f aca="false">C35*Inputs!$B$19/12</f>
        <v>0</v>
      </c>
      <c r="E35" s="25" t="n">
        <f aca="false">E34+D35</f>
        <v>511245</v>
      </c>
      <c r="F35" s="30" t="n">
        <f aca="false">MAX(0,Inputs!$B$21-30)</f>
        <v>0</v>
      </c>
    </row>
    <row r="36" customFormat="false" ht="15" hidden="false" customHeight="false" outlineLevel="0" collapsed="false">
      <c r="A36" s="28" t="n">
        <v>31</v>
      </c>
      <c r="B36" s="29" t="str">
        <f aca="false">IF(31&lt;=Inputs!$B$14,"Renovation",IF(31&lt;=Inputs!$B$14+Inputs!$B$15,"Lease-up",IF(31&lt;=Inputs!$B$21,"Stabilized","Past maturity")))</f>
        <v>Past maturity</v>
      </c>
      <c r="C36" s="23" t="n">
        <f aca="false">IF(31&lt;=Inputs!$B$21,Takeout!$B$10,0)</f>
        <v>0</v>
      </c>
      <c r="D36" s="23" t="n">
        <f aca="false">C36*Inputs!$B$19/12</f>
        <v>0</v>
      </c>
      <c r="E36" s="23" t="n">
        <f aca="false">E35+D36</f>
        <v>511245</v>
      </c>
      <c r="F36" s="28" t="n">
        <f aca="false">MAX(0,Inputs!$B$21-31)</f>
        <v>0</v>
      </c>
    </row>
    <row r="37" customFormat="false" ht="15" hidden="false" customHeight="false" outlineLevel="0" collapsed="false">
      <c r="A37" s="30" t="n">
        <v>32</v>
      </c>
      <c r="B37" s="31" t="str">
        <f aca="false">IF(32&lt;=Inputs!$B$14,"Renovation",IF(32&lt;=Inputs!$B$14+Inputs!$B$15,"Lease-up",IF(32&lt;=Inputs!$B$21,"Stabilized","Past maturity")))</f>
        <v>Past maturity</v>
      </c>
      <c r="C37" s="25" t="n">
        <f aca="false">IF(32&lt;=Inputs!$B$21,Takeout!$B$10,0)</f>
        <v>0</v>
      </c>
      <c r="D37" s="25" t="n">
        <f aca="false">C37*Inputs!$B$19/12</f>
        <v>0</v>
      </c>
      <c r="E37" s="25" t="n">
        <f aca="false">E36+D37</f>
        <v>511245</v>
      </c>
      <c r="F37" s="30" t="n">
        <f aca="false">MAX(0,Inputs!$B$21-32)</f>
        <v>0</v>
      </c>
    </row>
    <row r="38" customFormat="false" ht="15" hidden="false" customHeight="false" outlineLevel="0" collapsed="false">
      <c r="A38" s="28" t="n">
        <v>33</v>
      </c>
      <c r="B38" s="29" t="str">
        <f aca="false">IF(33&lt;=Inputs!$B$14,"Renovation",IF(33&lt;=Inputs!$B$14+Inputs!$B$15,"Lease-up",IF(33&lt;=Inputs!$B$21,"Stabilized","Past maturity")))</f>
        <v>Past maturity</v>
      </c>
      <c r="C38" s="23" t="n">
        <f aca="false">IF(33&lt;=Inputs!$B$21,Takeout!$B$10,0)</f>
        <v>0</v>
      </c>
      <c r="D38" s="23" t="n">
        <f aca="false">C38*Inputs!$B$19/12</f>
        <v>0</v>
      </c>
      <c r="E38" s="23" t="n">
        <f aca="false">E37+D38</f>
        <v>511245</v>
      </c>
      <c r="F38" s="28" t="n">
        <f aca="false">MAX(0,Inputs!$B$21-33)</f>
        <v>0</v>
      </c>
    </row>
    <row r="39" customFormat="false" ht="15" hidden="false" customHeight="false" outlineLevel="0" collapsed="false">
      <c r="A39" s="30" t="n">
        <v>34</v>
      </c>
      <c r="B39" s="31" t="str">
        <f aca="false">IF(34&lt;=Inputs!$B$14,"Renovation",IF(34&lt;=Inputs!$B$14+Inputs!$B$15,"Lease-up",IF(34&lt;=Inputs!$B$21,"Stabilized","Past maturity")))</f>
        <v>Past maturity</v>
      </c>
      <c r="C39" s="25" t="n">
        <f aca="false">IF(34&lt;=Inputs!$B$21,Takeout!$B$10,0)</f>
        <v>0</v>
      </c>
      <c r="D39" s="25" t="n">
        <f aca="false">C39*Inputs!$B$19/12</f>
        <v>0</v>
      </c>
      <c r="E39" s="25" t="n">
        <f aca="false">E38+D39</f>
        <v>511245</v>
      </c>
      <c r="F39" s="30" t="n">
        <f aca="false">MAX(0,Inputs!$B$21-34)</f>
        <v>0</v>
      </c>
    </row>
    <row r="40" customFormat="false" ht="15" hidden="false" customHeight="false" outlineLevel="0" collapsed="false">
      <c r="A40" s="28" t="n">
        <v>35</v>
      </c>
      <c r="B40" s="29" t="str">
        <f aca="false">IF(35&lt;=Inputs!$B$14,"Renovation",IF(35&lt;=Inputs!$B$14+Inputs!$B$15,"Lease-up",IF(35&lt;=Inputs!$B$21,"Stabilized","Past maturity")))</f>
        <v>Past maturity</v>
      </c>
      <c r="C40" s="23" t="n">
        <f aca="false">IF(35&lt;=Inputs!$B$21,Takeout!$B$10,0)</f>
        <v>0</v>
      </c>
      <c r="D40" s="23" t="n">
        <f aca="false">C40*Inputs!$B$19/12</f>
        <v>0</v>
      </c>
      <c r="E40" s="23" t="n">
        <f aca="false">E39+D40</f>
        <v>511245</v>
      </c>
      <c r="F40" s="28" t="n">
        <f aca="false">MAX(0,Inputs!$B$21-35)</f>
        <v>0</v>
      </c>
    </row>
    <row r="41" customFormat="false" ht="15" hidden="false" customHeight="false" outlineLevel="0" collapsed="false">
      <c r="A41" s="30" t="n">
        <v>36</v>
      </c>
      <c r="B41" s="31" t="str">
        <f aca="false">IF(36&lt;=Inputs!$B$14,"Renovation",IF(36&lt;=Inputs!$B$14+Inputs!$B$15,"Lease-up",IF(36&lt;=Inputs!$B$21,"Stabilized","Past maturity")))</f>
        <v>Past maturity</v>
      </c>
      <c r="C41" s="25" t="n">
        <f aca="false">IF(36&lt;=Inputs!$B$21,Takeout!$B$10,0)</f>
        <v>0</v>
      </c>
      <c r="D41" s="25" t="n">
        <f aca="false">C41*Inputs!$B$19/12</f>
        <v>0</v>
      </c>
      <c r="E41" s="25" t="n">
        <f aca="false">E40+D41</f>
        <v>511245</v>
      </c>
      <c r="F41" s="30" t="n">
        <f aca="false">MAX(0,Inputs!$B$21-36)</f>
        <v>0</v>
      </c>
    </row>
    <row r="42" customFormat="false" ht="15" hidden="false" customHeight="false" outlineLevel="0" collapsed="false">
      <c r="A42" s="28" t="n">
        <v>37</v>
      </c>
      <c r="B42" s="29" t="str">
        <f aca="false">IF(37&lt;=Inputs!$B$14,"Renovation",IF(37&lt;=Inputs!$B$14+Inputs!$B$15,"Lease-up",IF(37&lt;=Inputs!$B$21,"Stabilized","Past maturity")))</f>
        <v>Past maturity</v>
      </c>
      <c r="C42" s="23" t="n">
        <f aca="false">IF(37&lt;=Inputs!$B$21,Takeout!$B$10,0)</f>
        <v>0</v>
      </c>
      <c r="D42" s="23" t="n">
        <f aca="false">C42*Inputs!$B$19/12</f>
        <v>0</v>
      </c>
      <c r="E42" s="23" t="n">
        <f aca="false">E41+D42</f>
        <v>511245</v>
      </c>
      <c r="F42" s="28" t="n">
        <f aca="false">MAX(0,Inputs!$B$21-37)</f>
        <v>0</v>
      </c>
    </row>
    <row r="43" customFormat="false" ht="15" hidden="false" customHeight="false" outlineLevel="0" collapsed="false">
      <c r="A43" s="30" t="n">
        <v>38</v>
      </c>
      <c r="B43" s="31" t="str">
        <f aca="false">IF(38&lt;=Inputs!$B$14,"Renovation",IF(38&lt;=Inputs!$B$14+Inputs!$B$15,"Lease-up",IF(38&lt;=Inputs!$B$21,"Stabilized","Past maturity")))</f>
        <v>Past maturity</v>
      </c>
      <c r="C43" s="25" t="n">
        <f aca="false">IF(38&lt;=Inputs!$B$21,Takeout!$B$10,0)</f>
        <v>0</v>
      </c>
      <c r="D43" s="25" t="n">
        <f aca="false">C43*Inputs!$B$19/12</f>
        <v>0</v>
      </c>
      <c r="E43" s="25" t="n">
        <f aca="false">E42+D43</f>
        <v>511245</v>
      </c>
      <c r="F43" s="30" t="n">
        <f aca="false">MAX(0,Inputs!$B$21-38)</f>
        <v>0</v>
      </c>
    </row>
    <row r="44" customFormat="false" ht="15" hidden="false" customHeight="false" outlineLevel="0" collapsed="false">
      <c r="A44" s="28" t="n">
        <v>39</v>
      </c>
      <c r="B44" s="29" t="str">
        <f aca="false">IF(39&lt;=Inputs!$B$14,"Renovation",IF(39&lt;=Inputs!$B$14+Inputs!$B$15,"Lease-up",IF(39&lt;=Inputs!$B$21,"Stabilized","Past maturity")))</f>
        <v>Past maturity</v>
      </c>
      <c r="C44" s="23" t="n">
        <f aca="false">IF(39&lt;=Inputs!$B$21,Takeout!$B$10,0)</f>
        <v>0</v>
      </c>
      <c r="D44" s="23" t="n">
        <f aca="false">C44*Inputs!$B$19/12</f>
        <v>0</v>
      </c>
      <c r="E44" s="23" t="n">
        <f aca="false">E43+D44</f>
        <v>511245</v>
      </c>
      <c r="F44" s="28" t="n">
        <f aca="false">MAX(0,Inputs!$B$21-39)</f>
        <v>0</v>
      </c>
    </row>
    <row r="45" customFormat="false" ht="15" hidden="false" customHeight="false" outlineLevel="0" collapsed="false">
      <c r="A45" s="30" t="n">
        <v>40</v>
      </c>
      <c r="B45" s="31" t="str">
        <f aca="false">IF(40&lt;=Inputs!$B$14,"Renovation",IF(40&lt;=Inputs!$B$14+Inputs!$B$15,"Lease-up",IF(40&lt;=Inputs!$B$21,"Stabilized","Past maturity")))</f>
        <v>Past maturity</v>
      </c>
      <c r="C45" s="25" t="n">
        <f aca="false">IF(40&lt;=Inputs!$B$21,Takeout!$B$10,0)</f>
        <v>0</v>
      </c>
      <c r="D45" s="25" t="n">
        <f aca="false">C45*Inputs!$B$19/12</f>
        <v>0</v>
      </c>
      <c r="E45" s="25" t="n">
        <f aca="false">E44+D45</f>
        <v>511245</v>
      </c>
      <c r="F45" s="30" t="n">
        <f aca="false">MAX(0,Inputs!$B$21-40)</f>
        <v>0</v>
      </c>
    </row>
    <row r="46" customFormat="false" ht="15" hidden="false" customHeight="false" outlineLevel="0" collapsed="false">
      <c r="A46" s="28" t="n">
        <v>41</v>
      </c>
      <c r="B46" s="29" t="str">
        <f aca="false">IF(41&lt;=Inputs!$B$14,"Renovation",IF(41&lt;=Inputs!$B$14+Inputs!$B$15,"Lease-up",IF(41&lt;=Inputs!$B$21,"Stabilized","Past maturity")))</f>
        <v>Past maturity</v>
      </c>
      <c r="C46" s="23" t="n">
        <f aca="false">IF(41&lt;=Inputs!$B$21,Takeout!$B$10,0)</f>
        <v>0</v>
      </c>
      <c r="D46" s="23" t="n">
        <f aca="false">C46*Inputs!$B$19/12</f>
        <v>0</v>
      </c>
      <c r="E46" s="23" t="n">
        <f aca="false">E45+D46</f>
        <v>511245</v>
      </c>
      <c r="F46" s="28" t="n">
        <f aca="false">MAX(0,Inputs!$B$21-41)</f>
        <v>0</v>
      </c>
    </row>
    <row r="47" customFormat="false" ht="15" hidden="false" customHeight="false" outlineLevel="0" collapsed="false">
      <c r="A47" s="30" t="n">
        <v>42</v>
      </c>
      <c r="B47" s="31" t="str">
        <f aca="false">IF(42&lt;=Inputs!$B$14,"Renovation",IF(42&lt;=Inputs!$B$14+Inputs!$B$15,"Lease-up",IF(42&lt;=Inputs!$B$21,"Stabilized","Past maturity")))</f>
        <v>Past maturity</v>
      </c>
      <c r="C47" s="25" t="n">
        <f aca="false">IF(42&lt;=Inputs!$B$21,Takeout!$B$10,0)</f>
        <v>0</v>
      </c>
      <c r="D47" s="25" t="n">
        <f aca="false">C47*Inputs!$B$19/12</f>
        <v>0</v>
      </c>
      <c r="E47" s="25" t="n">
        <f aca="false">E46+D47</f>
        <v>511245</v>
      </c>
      <c r="F47" s="30" t="n">
        <f aca="false">MAX(0,Inputs!$B$21-42)</f>
        <v>0</v>
      </c>
    </row>
    <row r="48" customFormat="false" ht="15" hidden="false" customHeight="false" outlineLevel="0" collapsed="false">
      <c r="A48" s="28" t="n">
        <v>43</v>
      </c>
      <c r="B48" s="29" t="str">
        <f aca="false">IF(43&lt;=Inputs!$B$14,"Renovation",IF(43&lt;=Inputs!$B$14+Inputs!$B$15,"Lease-up",IF(43&lt;=Inputs!$B$21,"Stabilized","Past maturity")))</f>
        <v>Past maturity</v>
      </c>
      <c r="C48" s="23" t="n">
        <f aca="false">IF(43&lt;=Inputs!$B$21,Takeout!$B$10,0)</f>
        <v>0</v>
      </c>
      <c r="D48" s="23" t="n">
        <f aca="false">C48*Inputs!$B$19/12</f>
        <v>0</v>
      </c>
      <c r="E48" s="23" t="n">
        <f aca="false">E47+D48</f>
        <v>511245</v>
      </c>
      <c r="F48" s="28" t="n">
        <f aca="false">MAX(0,Inputs!$B$21-43)</f>
        <v>0</v>
      </c>
    </row>
    <row r="49" customFormat="false" ht="15" hidden="false" customHeight="false" outlineLevel="0" collapsed="false">
      <c r="A49" s="30" t="n">
        <v>44</v>
      </c>
      <c r="B49" s="31" t="str">
        <f aca="false">IF(44&lt;=Inputs!$B$14,"Renovation",IF(44&lt;=Inputs!$B$14+Inputs!$B$15,"Lease-up",IF(44&lt;=Inputs!$B$21,"Stabilized","Past maturity")))</f>
        <v>Past maturity</v>
      </c>
      <c r="C49" s="25" t="n">
        <f aca="false">IF(44&lt;=Inputs!$B$21,Takeout!$B$10,0)</f>
        <v>0</v>
      </c>
      <c r="D49" s="25" t="n">
        <f aca="false">C49*Inputs!$B$19/12</f>
        <v>0</v>
      </c>
      <c r="E49" s="25" t="n">
        <f aca="false">E48+D49</f>
        <v>511245</v>
      </c>
      <c r="F49" s="30" t="n">
        <f aca="false">MAX(0,Inputs!$B$21-44)</f>
        <v>0</v>
      </c>
    </row>
    <row r="50" customFormat="false" ht="15" hidden="false" customHeight="false" outlineLevel="0" collapsed="false">
      <c r="A50" s="28" t="n">
        <v>45</v>
      </c>
      <c r="B50" s="29" t="str">
        <f aca="false">IF(45&lt;=Inputs!$B$14,"Renovation",IF(45&lt;=Inputs!$B$14+Inputs!$B$15,"Lease-up",IF(45&lt;=Inputs!$B$21,"Stabilized","Past maturity")))</f>
        <v>Past maturity</v>
      </c>
      <c r="C50" s="23" t="n">
        <f aca="false">IF(45&lt;=Inputs!$B$21,Takeout!$B$10,0)</f>
        <v>0</v>
      </c>
      <c r="D50" s="23" t="n">
        <f aca="false">C50*Inputs!$B$19/12</f>
        <v>0</v>
      </c>
      <c r="E50" s="23" t="n">
        <f aca="false">E49+D50</f>
        <v>511245</v>
      </c>
      <c r="F50" s="28" t="n">
        <f aca="false">MAX(0,Inputs!$B$21-45)</f>
        <v>0</v>
      </c>
    </row>
    <row r="51" customFormat="false" ht="15" hidden="false" customHeight="false" outlineLevel="0" collapsed="false">
      <c r="A51" s="30" t="n">
        <v>46</v>
      </c>
      <c r="B51" s="31" t="str">
        <f aca="false">IF(46&lt;=Inputs!$B$14,"Renovation",IF(46&lt;=Inputs!$B$14+Inputs!$B$15,"Lease-up",IF(46&lt;=Inputs!$B$21,"Stabilized","Past maturity")))</f>
        <v>Past maturity</v>
      </c>
      <c r="C51" s="25" t="n">
        <f aca="false">IF(46&lt;=Inputs!$B$21,Takeout!$B$10,0)</f>
        <v>0</v>
      </c>
      <c r="D51" s="25" t="n">
        <f aca="false">C51*Inputs!$B$19/12</f>
        <v>0</v>
      </c>
      <c r="E51" s="25" t="n">
        <f aca="false">E50+D51</f>
        <v>511245</v>
      </c>
      <c r="F51" s="30" t="n">
        <f aca="false">MAX(0,Inputs!$B$21-46)</f>
        <v>0</v>
      </c>
    </row>
    <row r="52" customFormat="false" ht="15" hidden="false" customHeight="false" outlineLevel="0" collapsed="false">
      <c r="A52" s="28" t="n">
        <v>47</v>
      </c>
      <c r="B52" s="29" t="str">
        <f aca="false">IF(47&lt;=Inputs!$B$14,"Renovation",IF(47&lt;=Inputs!$B$14+Inputs!$B$15,"Lease-up",IF(47&lt;=Inputs!$B$21,"Stabilized","Past maturity")))</f>
        <v>Past maturity</v>
      </c>
      <c r="C52" s="23" t="n">
        <f aca="false">IF(47&lt;=Inputs!$B$21,Takeout!$B$10,0)</f>
        <v>0</v>
      </c>
      <c r="D52" s="23" t="n">
        <f aca="false">C52*Inputs!$B$19/12</f>
        <v>0</v>
      </c>
      <c r="E52" s="23" t="n">
        <f aca="false">E51+D52</f>
        <v>511245</v>
      </c>
      <c r="F52" s="28" t="n">
        <f aca="false">MAX(0,Inputs!$B$21-47)</f>
        <v>0</v>
      </c>
    </row>
    <row r="53" customFormat="false" ht="15" hidden="false" customHeight="false" outlineLevel="0" collapsed="false">
      <c r="A53" s="30" t="n">
        <v>48</v>
      </c>
      <c r="B53" s="31" t="str">
        <f aca="false">IF(48&lt;=Inputs!$B$14,"Renovation",IF(48&lt;=Inputs!$B$14+Inputs!$B$15,"Lease-up",IF(48&lt;=Inputs!$B$21,"Stabilized","Past maturity")))</f>
        <v>Past maturity</v>
      </c>
      <c r="C53" s="25" t="n">
        <f aca="false">IF(48&lt;=Inputs!$B$21,Takeout!$B$10,0)</f>
        <v>0</v>
      </c>
      <c r="D53" s="25" t="n">
        <f aca="false">C53*Inputs!$B$19/12</f>
        <v>0</v>
      </c>
      <c r="E53" s="25" t="n">
        <f aca="false">E52+D53</f>
        <v>511245</v>
      </c>
      <c r="F53" s="30" t="n">
        <f aca="false">MAX(0,Inputs!$B$21-48)</f>
        <v>0</v>
      </c>
    </row>
    <row r="54" customFormat="false" ht="15" hidden="false" customHeight="false" outlineLevel="0" collapsed="false">
      <c r="A54" s="28" t="n">
        <v>49</v>
      </c>
      <c r="B54" s="29" t="str">
        <f aca="false">IF(49&lt;=Inputs!$B$14,"Renovation",IF(49&lt;=Inputs!$B$14+Inputs!$B$15,"Lease-up",IF(49&lt;=Inputs!$B$21,"Stabilized","Past maturity")))</f>
        <v>Past maturity</v>
      </c>
      <c r="C54" s="23" t="n">
        <f aca="false">IF(49&lt;=Inputs!$B$21,Takeout!$B$10,0)</f>
        <v>0</v>
      </c>
      <c r="D54" s="23" t="n">
        <f aca="false">C54*Inputs!$B$19/12</f>
        <v>0</v>
      </c>
      <c r="E54" s="23" t="n">
        <f aca="false">E53+D54</f>
        <v>511245</v>
      </c>
      <c r="F54" s="28" t="n">
        <f aca="false">MAX(0,Inputs!$B$21-49)</f>
        <v>0</v>
      </c>
    </row>
    <row r="55" customFormat="false" ht="15" hidden="false" customHeight="false" outlineLevel="0" collapsed="false">
      <c r="A55" s="30" t="n">
        <v>50</v>
      </c>
      <c r="B55" s="31" t="str">
        <f aca="false">IF(50&lt;=Inputs!$B$14,"Renovation",IF(50&lt;=Inputs!$B$14+Inputs!$B$15,"Lease-up",IF(50&lt;=Inputs!$B$21,"Stabilized","Past maturity")))</f>
        <v>Past maturity</v>
      </c>
      <c r="C55" s="25" t="n">
        <f aca="false">IF(50&lt;=Inputs!$B$21,Takeout!$B$10,0)</f>
        <v>0</v>
      </c>
      <c r="D55" s="25" t="n">
        <f aca="false">C55*Inputs!$B$19/12</f>
        <v>0</v>
      </c>
      <c r="E55" s="25" t="n">
        <f aca="false">E54+D55</f>
        <v>511245</v>
      </c>
      <c r="F55" s="30" t="n">
        <f aca="false">MAX(0,Inputs!$B$21-50)</f>
        <v>0</v>
      </c>
    </row>
    <row r="56" customFormat="false" ht="15" hidden="false" customHeight="false" outlineLevel="0" collapsed="false">
      <c r="A56" s="28" t="n">
        <v>51</v>
      </c>
      <c r="B56" s="29" t="str">
        <f aca="false">IF(51&lt;=Inputs!$B$14,"Renovation",IF(51&lt;=Inputs!$B$14+Inputs!$B$15,"Lease-up",IF(51&lt;=Inputs!$B$21,"Stabilized","Past maturity")))</f>
        <v>Past maturity</v>
      </c>
      <c r="C56" s="23" t="n">
        <f aca="false">IF(51&lt;=Inputs!$B$21,Takeout!$B$10,0)</f>
        <v>0</v>
      </c>
      <c r="D56" s="23" t="n">
        <f aca="false">C56*Inputs!$B$19/12</f>
        <v>0</v>
      </c>
      <c r="E56" s="23" t="n">
        <f aca="false">E55+D56</f>
        <v>511245</v>
      </c>
      <c r="F56" s="28" t="n">
        <f aca="false">MAX(0,Inputs!$B$21-51)</f>
        <v>0</v>
      </c>
    </row>
    <row r="57" customFormat="false" ht="15" hidden="false" customHeight="false" outlineLevel="0" collapsed="false">
      <c r="A57" s="30" t="n">
        <v>52</v>
      </c>
      <c r="B57" s="31" t="str">
        <f aca="false">IF(52&lt;=Inputs!$B$14,"Renovation",IF(52&lt;=Inputs!$B$14+Inputs!$B$15,"Lease-up",IF(52&lt;=Inputs!$B$21,"Stabilized","Past maturity")))</f>
        <v>Past maturity</v>
      </c>
      <c r="C57" s="25" t="n">
        <f aca="false">IF(52&lt;=Inputs!$B$21,Takeout!$B$10,0)</f>
        <v>0</v>
      </c>
      <c r="D57" s="25" t="n">
        <f aca="false">C57*Inputs!$B$19/12</f>
        <v>0</v>
      </c>
      <c r="E57" s="25" t="n">
        <f aca="false">E56+D57</f>
        <v>511245</v>
      </c>
      <c r="F57" s="30" t="n">
        <f aca="false">MAX(0,Inputs!$B$21-52)</f>
        <v>0</v>
      </c>
    </row>
    <row r="58" customFormat="false" ht="15" hidden="false" customHeight="false" outlineLevel="0" collapsed="false">
      <c r="A58" s="28" t="n">
        <v>53</v>
      </c>
      <c r="B58" s="29" t="str">
        <f aca="false">IF(53&lt;=Inputs!$B$14,"Renovation",IF(53&lt;=Inputs!$B$14+Inputs!$B$15,"Lease-up",IF(53&lt;=Inputs!$B$21,"Stabilized","Past maturity")))</f>
        <v>Past maturity</v>
      </c>
      <c r="C58" s="23" t="n">
        <f aca="false">IF(53&lt;=Inputs!$B$21,Takeout!$B$10,0)</f>
        <v>0</v>
      </c>
      <c r="D58" s="23" t="n">
        <f aca="false">C58*Inputs!$B$19/12</f>
        <v>0</v>
      </c>
      <c r="E58" s="23" t="n">
        <f aca="false">E57+D58</f>
        <v>511245</v>
      </c>
      <c r="F58" s="28" t="n">
        <f aca="false">MAX(0,Inputs!$B$21-53)</f>
        <v>0</v>
      </c>
    </row>
    <row r="59" customFormat="false" ht="15" hidden="false" customHeight="false" outlineLevel="0" collapsed="false">
      <c r="A59" s="30" t="n">
        <v>54</v>
      </c>
      <c r="B59" s="31" t="str">
        <f aca="false">IF(54&lt;=Inputs!$B$14,"Renovation",IF(54&lt;=Inputs!$B$14+Inputs!$B$15,"Lease-up",IF(54&lt;=Inputs!$B$21,"Stabilized","Past maturity")))</f>
        <v>Past maturity</v>
      </c>
      <c r="C59" s="25" t="n">
        <f aca="false">IF(54&lt;=Inputs!$B$21,Takeout!$B$10,0)</f>
        <v>0</v>
      </c>
      <c r="D59" s="25" t="n">
        <f aca="false">C59*Inputs!$B$19/12</f>
        <v>0</v>
      </c>
      <c r="E59" s="25" t="n">
        <f aca="false">E58+D59</f>
        <v>511245</v>
      </c>
      <c r="F59" s="30" t="n">
        <f aca="false">MAX(0,Inputs!$B$21-54)</f>
        <v>0</v>
      </c>
    </row>
    <row r="60" customFormat="false" ht="15" hidden="false" customHeight="false" outlineLevel="0" collapsed="false">
      <c r="A60" s="28" t="n">
        <v>55</v>
      </c>
      <c r="B60" s="29" t="str">
        <f aca="false">IF(55&lt;=Inputs!$B$14,"Renovation",IF(55&lt;=Inputs!$B$14+Inputs!$B$15,"Lease-up",IF(55&lt;=Inputs!$B$21,"Stabilized","Past maturity")))</f>
        <v>Past maturity</v>
      </c>
      <c r="C60" s="23" t="n">
        <f aca="false">IF(55&lt;=Inputs!$B$21,Takeout!$B$10,0)</f>
        <v>0</v>
      </c>
      <c r="D60" s="23" t="n">
        <f aca="false">C60*Inputs!$B$19/12</f>
        <v>0</v>
      </c>
      <c r="E60" s="23" t="n">
        <f aca="false">E59+D60</f>
        <v>511245</v>
      </c>
      <c r="F60" s="28" t="n">
        <f aca="false">MAX(0,Inputs!$B$21-55)</f>
        <v>0</v>
      </c>
    </row>
    <row r="61" customFormat="false" ht="15" hidden="false" customHeight="false" outlineLevel="0" collapsed="false">
      <c r="A61" s="30" t="n">
        <v>56</v>
      </c>
      <c r="B61" s="31" t="str">
        <f aca="false">IF(56&lt;=Inputs!$B$14,"Renovation",IF(56&lt;=Inputs!$B$14+Inputs!$B$15,"Lease-up",IF(56&lt;=Inputs!$B$21,"Stabilized","Past maturity")))</f>
        <v>Past maturity</v>
      </c>
      <c r="C61" s="25" t="n">
        <f aca="false">IF(56&lt;=Inputs!$B$21,Takeout!$B$10,0)</f>
        <v>0</v>
      </c>
      <c r="D61" s="25" t="n">
        <f aca="false">C61*Inputs!$B$19/12</f>
        <v>0</v>
      </c>
      <c r="E61" s="25" t="n">
        <f aca="false">E60+D61</f>
        <v>511245</v>
      </c>
      <c r="F61" s="30" t="n">
        <f aca="false">MAX(0,Inputs!$B$21-56)</f>
        <v>0</v>
      </c>
    </row>
    <row r="62" customFormat="false" ht="15" hidden="false" customHeight="false" outlineLevel="0" collapsed="false">
      <c r="A62" s="28" t="n">
        <v>57</v>
      </c>
      <c r="B62" s="29" t="str">
        <f aca="false">IF(57&lt;=Inputs!$B$14,"Renovation",IF(57&lt;=Inputs!$B$14+Inputs!$B$15,"Lease-up",IF(57&lt;=Inputs!$B$21,"Stabilized","Past maturity")))</f>
        <v>Past maturity</v>
      </c>
      <c r="C62" s="23" t="n">
        <f aca="false">IF(57&lt;=Inputs!$B$21,Takeout!$B$10,0)</f>
        <v>0</v>
      </c>
      <c r="D62" s="23" t="n">
        <f aca="false">C62*Inputs!$B$19/12</f>
        <v>0</v>
      </c>
      <c r="E62" s="23" t="n">
        <f aca="false">E61+D62</f>
        <v>511245</v>
      </c>
      <c r="F62" s="28" t="n">
        <f aca="false">MAX(0,Inputs!$B$21-57)</f>
        <v>0</v>
      </c>
    </row>
    <row r="63" customFormat="false" ht="15" hidden="false" customHeight="false" outlineLevel="0" collapsed="false">
      <c r="A63" s="30" t="n">
        <v>58</v>
      </c>
      <c r="B63" s="31" t="str">
        <f aca="false">IF(58&lt;=Inputs!$B$14,"Renovation",IF(58&lt;=Inputs!$B$14+Inputs!$B$15,"Lease-up",IF(58&lt;=Inputs!$B$21,"Stabilized","Past maturity")))</f>
        <v>Past maturity</v>
      </c>
      <c r="C63" s="25" t="n">
        <f aca="false">IF(58&lt;=Inputs!$B$21,Takeout!$B$10,0)</f>
        <v>0</v>
      </c>
      <c r="D63" s="25" t="n">
        <f aca="false">C63*Inputs!$B$19/12</f>
        <v>0</v>
      </c>
      <c r="E63" s="25" t="n">
        <f aca="false">E62+D63</f>
        <v>511245</v>
      </c>
      <c r="F63" s="30" t="n">
        <f aca="false">MAX(0,Inputs!$B$21-58)</f>
        <v>0</v>
      </c>
    </row>
    <row r="64" customFormat="false" ht="15" hidden="false" customHeight="false" outlineLevel="0" collapsed="false">
      <c r="A64" s="28" t="n">
        <v>59</v>
      </c>
      <c r="B64" s="29" t="str">
        <f aca="false">IF(59&lt;=Inputs!$B$14,"Renovation",IF(59&lt;=Inputs!$B$14+Inputs!$B$15,"Lease-up",IF(59&lt;=Inputs!$B$21,"Stabilized","Past maturity")))</f>
        <v>Past maturity</v>
      </c>
      <c r="C64" s="23" t="n">
        <f aca="false">IF(59&lt;=Inputs!$B$21,Takeout!$B$10,0)</f>
        <v>0</v>
      </c>
      <c r="D64" s="23" t="n">
        <f aca="false">C64*Inputs!$B$19/12</f>
        <v>0</v>
      </c>
      <c r="E64" s="23" t="n">
        <f aca="false">E63+D64</f>
        <v>511245</v>
      </c>
      <c r="F64" s="28" t="n">
        <f aca="false">MAX(0,Inputs!$B$21-59)</f>
        <v>0</v>
      </c>
    </row>
    <row r="65" customFormat="false" ht="15" hidden="false" customHeight="false" outlineLevel="0" collapsed="false">
      <c r="A65" s="30" t="n">
        <v>60</v>
      </c>
      <c r="B65" s="31" t="str">
        <f aca="false">IF(60&lt;=Inputs!$B$14,"Renovation",IF(60&lt;=Inputs!$B$14+Inputs!$B$15,"Lease-up",IF(60&lt;=Inputs!$B$21,"Stabilized","Past maturity")))</f>
        <v>Past maturity</v>
      </c>
      <c r="C65" s="25" t="n">
        <f aca="false">IF(60&lt;=Inputs!$B$21,Takeout!$B$10,0)</f>
        <v>0</v>
      </c>
      <c r="D65" s="25" t="n">
        <f aca="false">C65*Inputs!$B$19/12</f>
        <v>0</v>
      </c>
      <c r="E65" s="25" t="n">
        <f aca="false">E64+D65</f>
        <v>511245</v>
      </c>
      <c r="F65" s="30" t="n">
        <f aca="false">MAX(0,Inputs!$B$21-60)</f>
        <v>0</v>
      </c>
    </row>
    <row r="67" customFormat="false" ht="30" hidden="false" customHeight="true" outlineLevel="0" collapsed="false">
      <c r="A67" s="2" t="s">
        <v>39</v>
      </c>
      <c r="B67" s="2"/>
      <c r="C67" s="2"/>
      <c r="D67" s="2"/>
      <c r="E67" s="2"/>
      <c r="F67" s="2"/>
    </row>
  </sheetData>
  <mergeCells count="3">
    <mergeCell ref="A1:F1"/>
    <mergeCell ref="A3:F3"/>
    <mergeCell ref="A67:F67"/>
  </mergeCells>
  <conditionalFormatting sqref="A6:F65">
    <cfRule type="expression" priority="2" aboveAverage="0" equalAverage="0" bottom="0" percent="0" rank="0" text="" dxfId="0">
      <formula>$A6=Inputs!$B$14+Inputs!$B$15</formula>
    </cfRule>
    <cfRule type="expression" priority="3" aboveAverage="0" equalAverage="0" bottom="0" percent="0" rank="0" text="" dxfId="1">
      <formula>$A6=Inputs!$B$21</formula>
    </cfRule>
  </conditionalFormatting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2026-09-30T03:05:23Z</dcterms:created>
  <dc:creator>Capituro LLC</dc:creator>
  <dc:description/>
  <dc:language>en-US</dc:language>
  <cp:lastModifiedBy/>
  <dcterms:modified xsi:type="dcterms:W3CDTF">2026-09-29T23:05:25Z</dcterms:modified>
  <cp:revision>1</cp:revision>
  <dc:subject/>
  <dc:title>Bridge to Permanent Calculator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