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puts" sheetId="1" state="visible" r:id="rId3"/>
    <sheet name="Summary" sheetId="2" state="visible" r:id="rId4"/>
    <sheet name="Loan" sheetId="3" state="visible" r:id="rId5"/>
    <sheet name="Rollover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<sst xmlns="http://schemas.openxmlformats.org/spreadsheetml/2006/main" count="134" uniqueCount="117">
  <si>
    <t xml:space="preserve">Commercial Property Loan Inputs</t>
  </si>
  <si>
    <t xml:space="preserve">Yellow cells are yours. Everything else calculates. The example property is fictional.</t>
  </si>
  <si>
    <t xml:space="preserve">Property</t>
  </si>
  <si>
    <t xml:space="preserve">Property name</t>
  </si>
  <si>
    <t xml:space="preserve">Fictional Cedar Crossing</t>
  </si>
  <si>
    <t xml:space="preserve">City, State</t>
  </si>
  <si>
    <t xml:space="preserve">Tulsa, OK</t>
  </si>
  <si>
    <t xml:space="preserve">Property type</t>
  </si>
  <si>
    <t xml:space="preserve">Retail</t>
  </si>
  <si>
    <t xml:space="preserve">Building square feet</t>
  </si>
  <si>
    <t xml:space="preserve">Estimated value</t>
  </si>
  <si>
    <t xml:space="preserve">Year the loan closes</t>
  </si>
  <si>
    <t xml:space="preserve">Rent roll</t>
  </si>
  <si>
    <t xml:space="preserve">Tenant</t>
  </si>
  <si>
    <t xml:space="preserve">Square feet</t>
  </si>
  <si>
    <t xml:space="preserve">Annual base rent</t>
  </si>
  <si>
    <t xml:space="preserve">Lease ends (year)</t>
  </si>
  <si>
    <t xml:space="preserve">Rent per SF</t>
  </si>
  <si>
    <t xml:space="preserve">Name a vacant suite "Vacant" and enter market rent.</t>
  </si>
  <si>
    <t xml:space="preserve">Grocery anchor</t>
  </si>
  <si>
    <t xml:space="preserve">Pharmacy</t>
  </si>
  <si>
    <t xml:space="preserve">Fitness studio</t>
  </si>
  <si>
    <t xml:space="preserve">Restaurant</t>
  </si>
  <si>
    <t xml:space="preserve">Mattress store</t>
  </si>
  <si>
    <t xml:space="preserve">Dental office</t>
  </si>
  <si>
    <t xml:space="preserve">Coffee drive-thru</t>
  </si>
  <si>
    <t xml:space="preserve">Phone store</t>
  </si>
  <si>
    <t xml:space="preserve">Nail salon</t>
  </si>
  <si>
    <t xml:space="preserve">Vacant</t>
  </si>
  <si>
    <t xml:space="preserve">Total</t>
  </si>
  <si>
    <t xml:space="preserve">Income and expenses (annual)</t>
  </si>
  <si>
    <t xml:space="preserve">Expense reimbursements from tenants</t>
  </si>
  <si>
    <t xml:space="preserve">Taxes, insurance, and CAM the tenants pay back.</t>
  </si>
  <si>
    <t xml:space="preserve">Operating expenses</t>
  </si>
  <si>
    <t xml:space="preserve">Taxes, insurance, CAM, utilities, repairs. Not management.</t>
  </si>
  <si>
    <t xml:space="preserve">Vacancy allowance (minimum)</t>
  </si>
  <si>
    <t xml:space="preserve">Applied when it's higher than the actual vacancy.</t>
  </si>
  <si>
    <t xml:space="preserve">Management (% of income)</t>
  </si>
  <si>
    <t xml:space="preserve">Replacement reserves per SF</t>
  </si>
  <si>
    <t xml:space="preserve">Tenant improvements and leasing commissions per SF</t>
  </si>
  <si>
    <t xml:space="preserve">Set aside for re-leasing space.</t>
  </si>
  <si>
    <t xml:space="preserve">The loan</t>
  </si>
  <si>
    <t xml:space="preserve">Interest rate</t>
  </si>
  <si>
    <t xml:space="preserve">The rate you want to test. This one is a placeholder.</t>
  </si>
  <si>
    <t xml:space="preserve">Amortization (years)</t>
  </si>
  <si>
    <t xml:space="preserve">Loan term (years)</t>
  </si>
  <si>
    <t xml:space="preserve">Leases that end inside this window show on the Rollover sheet.</t>
  </si>
  <si>
    <t xml:space="preserve">Minimum DSCR</t>
  </si>
  <si>
    <t xml:space="preserve">Maximum LTV</t>
  </si>
  <si>
    <t xml:space="preserve">Current loan payoff</t>
  </si>
  <si>
    <t xml:space="preserve">0 for a purchase or a free and clear property.</t>
  </si>
  <si>
    <t xml:space="preserve">Closing costs (% of loan)</t>
  </si>
  <si>
    <t xml:space="preserve">Built by Capituro. The rate is yours, not a quote. Send the numbers for real terms: capituro.com/contact</t>
  </si>
  <si>
    <t xml:space="preserve">Commercial Property Loan Calculator</t>
  </si>
  <si>
    <t xml:space="preserve">Change the Inputs sheet and this updates. The example property is fictional.</t>
  </si>
  <si>
    <t xml:space="preserve">The property</t>
  </si>
  <si>
    <t xml:space="preserve">The answer</t>
  </si>
  <si>
    <t xml:space="preserve">Amortizing</t>
  </si>
  <si>
    <t xml:space="preserve">Interest-only</t>
  </si>
  <si>
    <t xml:space="preserve">Location</t>
  </si>
  <si>
    <t xml:space="preserve">Loan</t>
  </si>
  <si>
    <t xml:space="preserve">Type</t>
  </si>
  <si>
    <t xml:space="preserve">Monthly payment</t>
  </si>
  <si>
    <t xml:space="preserve">DSCR</t>
  </si>
  <si>
    <t xml:space="preserve">Value</t>
  </si>
  <si>
    <t xml:space="preserve">Debt yield</t>
  </si>
  <si>
    <t xml:space="preserve">Leased</t>
  </si>
  <si>
    <t xml:space="preserve">Cash out at closing</t>
  </si>
  <si>
    <t xml:space="preserve">Net operating income</t>
  </si>
  <si>
    <t xml:space="preserve">What sets the loan</t>
  </si>
  <si>
    <t xml:space="preserve">Rate tested</t>
  </si>
  <si>
    <t xml:space="preserve">Rent ending inside the term</t>
  </si>
  <si>
    <t xml:space="preserve">Largest tenant's share</t>
  </si>
  <si>
    <t xml:space="preserve">Chart data: base rent ending by year</t>
  </si>
  <si>
    <t xml:space="preserve">Year</t>
  </si>
  <si>
    <t xml:space="preserve">Base rent ending</t>
  </si>
  <si>
    <t xml:space="preserve">Commercial Loan</t>
  </si>
  <si>
    <t xml:space="preserve">Net operating income the way underwriting builds it, then the loan on two payments.</t>
  </si>
  <si>
    <t xml:space="preserve">Base rent, all suites</t>
  </si>
  <si>
    <t xml:space="preserve">Actual vacancy (vacant suites)</t>
  </si>
  <si>
    <t xml:space="preserve">Vacancy used</t>
  </si>
  <si>
    <t xml:space="preserve">The higher of actual vacancy and the minimum.</t>
  </si>
  <si>
    <t xml:space="preserve">Expense reimbursements</t>
  </si>
  <si>
    <t xml:space="preserve">Effective gross income</t>
  </si>
  <si>
    <t xml:space="preserve">Management</t>
  </si>
  <si>
    <t xml:space="preserve">Replacement reserves</t>
  </si>
  <si>
    <t xml:space="preserve">Tenant improvements and leasing commissions</t>
  </si>
  <si>
    <t xml:space="preserve">Cap rate on your value</t>
  </si>
  <si>
    <t xml:space="preserve">Most the property can pay each year</t>
  </si>
  <si>
    <t xml:space="preserve">NOI divided by the minimum DSCR.</t>
  </si>
  <si>
    <t xml:space="preserve">Side by side</t>
  </si>
  <si>
    <t xml:space="preserve">Difference</t>
  </si>
  <si>
    <t xml:space="preserve">Loan the income supports</t>
  </si>
  <si>
    <t xml:space="preserve">Loan the value supports</t>
  </si>
  <si>
    <t xml:space="preserve">The lower of the two.</t>
  </si>
  <si>
    <t xml:space="preserve">NOI divided by the loan.</t>
  </si>
  <si>
    <t xml:space="preserve">LTV</t>
  </si>
  <si>
    <t xml:space="preserve">Cash flow after the payment (per year)</t>
  </si>
  <si>
    <t xml:space="preserve">Loan less payoff less closing costs. Negative means cash to close.</t>
  </si>
  <si>
    <t xml:space="preserve">Balance at the end of the term</t>
  </si>
  <si>
    <t xml:space="preserve">What the rate does</t>
  </si>
  <si>
    <t xml:space="preserve">Rate</t>
  </si>
  <si>
    <t xml:space="preserve">Amortizing loan</t>
  </si>
  <si>
    <t xml:space="preserve">Interest-only loan</t>
  </si>
  <si>
    <t xml:space="preserve">Interest-only adds</t>
  </si>
  <si>
    <t xml:space="preserve">Each loan is the lower of what the income and the value support at that rate.</t>
  </si>
  <si>
    <t xml:space="preserve">Lease Rollover</t>
  </si>
  <si>
    <t xml:space="preserve">Base rent by the year each lease ends. The shaded years fall inside the loan term.</t>
  </si>
  <si>
    <t xml:space="preserve">Share of base rent</t>
  </si>
  <si>
    <t xml:space="preserve">Running share</t>
  </si>
  <si>
    <t xml:space="preserve">What it means for the loan</t>
  </si>
  <si>
    <t xml:space="preserve">Base rent ending inside the loan term</t>
  </si>
  <si>
    <t xml:space="preserve">Share of occupied base rent</t>
  </si>
  <si>
    <t xml:space="preserve">Largest tenant's share of base rent</t>
  </si>
  <si>
    <t xml:space="preserve">Leases ending in the first two years</t>
  </si>
  <si>
    <t xml:space="preserve">Leased by square feet</t>
  </si>
  <si>
    <t xml:space="preserve">Leases ending after the last year shown aren't counted. Month-to-month tenants: enter the year after closing.</t>
  </si>
</sst>
</file>

<file path=xl/styles.xml><?xml version="1.0" encoding="utf-8"?>
<styleSheet xmlns="http://schemas.openxmlformats.org/spreadsheetml/2006/main">
  <numFmts count="9">
    <numFmt numFmtId="164" formatCode="General"/>
    <numFmt numFmtId="165" formatCode="#,##0"/>
    <numFmt numFmtId="166" formatCode="\$#,##0;[RED]&quot;-$&quot;#,##0"/>
    <numFmt numFmtId="167" formatCode="0"/>
    <numFmt numFmtId="168" formatCode="\$#,##0.00;[RED]&quot;-$&quot;#,##0.00"/>
    <numFmt numFmtId="169" formatCode="0.00%"/>
    <numFmt numFmtId="170" formatCode="0.00\x"/>
    <numFmt numFmtId="171" formatCode="0.0%"/>
    <numFmt numFmtId="172" formatCode="\$#,##0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FFFFFF"/>
      <name val="Georgia"/>
      <family val="0"/>
      <charset val="1"/>
    </font>
    <font>
      <i val="true"/>
      <sz val="9"/>
      <color rgb="FF465470"/>
      <name val="Georgia"/>
      <family val="0"/>
      <charset val="1"/>
    </font>
    <font>
      <b val="true"/>
      <sz val="10"/>
      <color rgb="FFFFFFFF"/>
      <name val="Georgia"/>
      <family val="0"/>
      <charset val="1"/>
    </font>
    <font>
      <b val="true"/>
      <sz val="10"/>
      <color rgb="FF0A1428"/>
      <name val="Georgia"/>
      <family val="0"/>
      <charset val="1"/>
    </font>
    <font>
      <sz val="10"/>
      <color rgb="FF0A1428"/>
      <name val="Georgia"/>
      <family val="0"/>
      <charset val="1"/>
    </font>
    <font>
      <b val="true"/>
      <sz val="12"/>
      <color rgb="FF0A1428"/>
      <name val="Georgia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0A1428"/>
        <bgColor rgb="FF000000"/>
      </patternFill>
    </fill>
    <fill>
      <patternFill patternType="solid">
        <fgColor rgb="FF2B3A55"/>
        <bgColor rgb="FF333399"/>
      </patternFill>
    </fill>
    <fill>
      <patternFill patternType="solid">
        <fgColor rgb="FFF6F7F8"/>
        <bgColor rgb="FFFFFFFF"/>
      </patternFill>
    </fill>
    <fill>
      <patternFill patternType="solid">
        <fgColor rgb="FFFFF4DD"/>
        <bgColor rgb="FFEEF7DC"/>
      </patternFill>
    </fill>
    <fill>
      <patternFill patternType="solid">
        <fgColor rgb="FFFFFFFF"/>
        <bgColor rgb="FFF6F7F8"/>
      </patternFill>
    </fill>
    <fill>
      <patternFill patternType="solid">
        <fgColor rgb="FFEEF7DC"/>
        <bgColor rgb="FFFFF4DD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ADDE2"/>
      </left>
      <right style="thin">
        <color rgb="FFDADDE2"/>
      </right>
      <top style="thin">
        <color rgb="FFDADDE2"/>
      </top>
      <bottom style="thin">
        <color rgb="FFDADDE2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5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8" fillId="5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8" fillId="5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8" fillId="5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7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4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8" fontId="8" fillId="6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9" fillId="7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9" fillId="7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8" fillId="6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9" fontId="8" fillId="5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8" fillId="5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0" fontId="8" fillId="5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8" fillId="6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0" fontId="8" fillId="6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8" fillId="6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9" fontId="8" fillId="6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1" fontId="8" fillId="6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8" fillId="6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1" fontId="9" fillId="7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6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9" fillId="7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6" fillId="3" borderId="0" xfId="0" applyFont="true" applyBorder="false" applyAlignment="true" applyProtection="false">
      <alignment horizontal="left" vertical="bottom" textRotation="0" wrapText="true" indent="0" shrinkToFit="false"/>
      <protection locked="true" hidden="false"/>
    </xf>
    <xf numFmtId="164" fontId="6" fillId="3" borderId="0" xfId="0" applyFont="true" applyBorder="false" applyAlignment="true" applyProtection="false">
      <alignment horizontal="right" vertical="bottom" textRotation="0" wrapText="true" indent="0" shrinkToFit="false"/>
      <protection locked="true" hidden="false"/>
    </xf>
    <xf numFmtId="167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ill>
        <patternFill>
          <bgColor rgb="FFEEF7DC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ADDE2"/>
      <rgbColor rgb="FF878787"/>
      <rgbColor rgb="FF9999FF"/>
      <rgbColor rgb="FF993366"/>
      <rgbColor rgb="FFFFF4DD"/>
      <rgbColor rgb="FFF6F7F8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EF7DC"/>
      <rgbColor rgb="FFFFFF99"/>
      <rgbColor rgb="FF99CCFF"/>
      <rgbColor rgb="FFFF99CC"/>
      <rgbColor rgb="FFCC99FF"/>
      <rgbColor rgb="FFFFCC99"/>
      <rgbColor rgb="FF3366FF"/>
      <rgbColor rgb="FF33CCCC"/>
      <rgbColor rgb="FF8CC63F"/>
      <rgbColor rgb="FFFFCC00"/>
      <rgbColor rgb="FFFF9900"/>
      <rgbColor rgb="FFFF6600"/>
      <rgbColor rgb="FF465470"/>
      <rgbColor rgb="FF969696"/>
      <rgbColor rgb="FF003366"/>
      <rgbColor rgb="FF339966"/>
      <rgbColor rgb="FF0A1428"/>
      <rgbColor rgb="FF333300"/>
      <rgbColor rgb="FF993300"/>
      <rgbColor rgb="FF993366"/>
      <rgbColor rgb="FF333399"/>
      <rgbColor rgb="FF2B3A55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Base rent ending by year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Summary!B18</c:f>
              <c:strCache>
                <c:ptCount val="1"/>
                <c:pt idx="0">
                  <c:v>Base rent ending</c:v>
                </c:pt>
              </c:strCache>
            </c:strRef>
          </c:tx>
          <c:spPr>
            <a:solidFill>
              <a:srgbClr val="8cc63f"/>
            </a:solidFill>
            <a:ln w="0">
              <a:solidFill>
                <a:srgbClr val="8cc63f"/>
              </a:solidFill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Summary!$A$19:$A$30</c:f>
              <c:strCache>
                <c:ptCount val="12"/>
                <c:pt idx="0">
                  <c:v>2027</c:v>
                </c:pt>
                <c:pt idx="1">
                  <c:v>2028</c:v>
                </c:pt>
                <c:pt idx="2">
                  <c:v>2029</c:v>
                </c:pt>
                <c:pt idx="3">
                  <c:v>2030</c:v>
                </c:pt>
                <c:pt idx="4">
                  <c:v>2031</c:v>
                </c:pt>
                <c:pt idx="5">
                  <c:v>2032</c:v>
                </c:pt>
                <c:pt idx="6">
                  <c:v>2033</c:v>
                </c:pt>
                <c:pt idx="7">
                  <c:v>2034</c:v>
                </c:pt>
                <c:pt idx="8">
                  <c:v>2035</c:v>
                </c:pt>
                <c:pt idx="9">
                  <c:v>2036</c:v>
                </c:pt>
                <c:pt idx="10">
                  <c:v>2037</c:v>
                </c:pt>
                <c:pt idx="11">
                  <c:v>2038</c:v>
                </c:pt>
              </c:strCache>
            </c:strRef>
          </c:cat>
          <c:val>
            <c:numRef>
              <c:f>Summary!$B$19:$B$30</c:f>
              <c:numCache>
                <c:formatCode>\$#,##0;[RED]"-$"#,##0</c:formatCode>
                <c:ptCount val="12"/>
                <c:pt idx="0">
                  <c:v>33000</c:v>
                </c:pt>
                <c:pt idx="1">
                  <c:v>115500</c:v>
                </c:pt>
                <c:pt idx="2">
                  <c:v>96000</c:v>
                </c:pt>
                <c:pt idx="3">
                  <c:v>96000</c:v>
                </c:pt>
                <c:pt idx="4">
                  <c:v>198000</c:v>
                </c:pt>
                <c:pt idx="5">
                  <c:v>60000</c:v>
                </c:pt>
                <c:pt idx="6">
                  <c:v>60000</c:v>
                </c:pt>
                <c:pt idx="7">
                  <c:v>406000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</c:ser>
        <c:gapWidth val="150"/>
        <c:overlap val="0"/>
        <c:axId val="13540400"/>
        <c:axId val="31842544"/>
      </c:barChart>
      <c:catAx>
        <c:axId val="135404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31842544"/>
        <c:crosses val="autoZero"/>
        <c:auto val="1"/>
        <c:lblAlgn val="ctr"/>
        <c:lblOffset val="100"/>
        <c:noMultiLvlLbl val="0"/>
      </c:catAx>
      <c:valAx>
        <c:axId val="31842544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\$#,##0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13540400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3</xdr:col>
      <xdr:colOff>0</xdr:colOff>
      <xdr:row>16</xdr:row>
      <xdr:rowOff>0</xdr:rowOff>
    </xdr:from>
    <xdr:to>
      <xdr:col>6</xdr:col>
      <xdr:colOff>183960</xdr:colOff>
      <xdr:row>30</xdr:row>
      <xdr:rowOff>32400</xdr:rowOff>
    </xdr:to>
    <xdr:graphicFrame>
      <xdr:nvGraphicFramePr>
        <xdr:cNvPr id="0" name="Chart 1"/>
        <xdr:cNvGraphicFramePr/>
      </xdr:nvGraphicFramePr>
      <xdr:xfrm>
        <a:off x="4793040" y="3209760"/>
        <a:ext cx="5399640" cy="269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5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2" min="2" style="0" width="14"/>
    <col collapsed="false" customWidth="true" hidden="false" outlineLevel="0" max="3" min="3" style="0" width="18"/>
    <col collapsed="false" customWidth="true" hidden="false" outlineLevel="0" max="5" min="4" style="0" width="14"/>
    <col collapsed="false" customWidth="true" hidden="false" outlineLevel="0" max="6" min="6" style="0" width="4"/>
    <col collapsed="false" customWidth="true" hidden="false" outlineLevel="0" max="7" min="7" style="0" width="44"/>
  </cols>
  <sheetData>
    <row r="1" customFormat="false" ht="27.75" hidden="false" customHeight="true" outlineLevel="0" collapsed="false">
      <c r="A1" s="1" t="s">
        <v>0</v>
      </c>
      <c r="B1" s="2"/>
      <c r="C1" s="2"/>
      <c r="D1" s="2"/>
      <c r="E1" s="2"/>
      <c r="F1" s="2"/>
      <c r="G1" s="2"/>
    </row>
    <row r="3" customFormat="false" ht="15" hidden="false" customHeight="false" outlineLevel="0" collapsed="false">
      <c r="A3" s="3" t="s">
        <v>1</v>
      </c>
    </row>
    <row r="5" customFormat="false" ht="15" hidden="false" customHeight="false" outlineLevel="0" collapsed="false">
      <c r="A5" s="4" t="s">
        <v>2</v>
      </c>
      <c r="B5" s="5"/>
    </row>
    <row r="6" customFormat="false" ht="15" hidden="false" customHeight="false" outlineLevel="0" collapsed="false">
      <c r="A6" s="6" t="s">
        <v>3</v>
      </c>
      <c r="B6" s="7" t="s">
        <v>4</v>
      </c>
    </row>
    <row r="7" customFormat="false" ht="15" hidden="false" customHeight="false" outlineLevel="0" collapsed="false">
      <c r="A7" s="6" t="s">
        <v>5</v>
      </c>
      <c r="B7" s="7" t="s">
        <v>6</v>
      </c>
    </row>
    <row r="8" customFormat="false" ht="15" hidden="false" customHeight="false" outlineLevel="0" collapsed="false">
      <c r="A8" s="6" t="s">
        <v>7</v>
      </c>
      <c r="B8" s="7" t="s">
        <v>8</v>
      </c>
    </row>
    <row r="9" customFormat="false" ht="15" hidden="false" customHeight="false" outlineLevel="0" collapsed="false">
      <c r="A9" s="6" t="s">
        <v>9</v>
      </c>
      <c r="B9" s="8" t="n">
        <v>64000</v>
      </c>
    </row>
    <row r="10" customFormat="false" ht="15" hidden="false" customHeight="false" outlineLevel="0" collapsed="false">
      <c r="A10" s="6" t="s">
        <v>10</v>
      </c>
      <c r="B10" s="9" t="n">
        <v>11800000</v>
      </c>
    </row>
    <row r="11" customFormat="false" ht="15" hidden="false" customHeight="false" outlineLevel="0" collapsed="false">
      <c r="A11" s="6" t="s">
        <v>11</v>
      </c>
      <c r="B11" s="10" t="n">
        <v>2026</v>
      </c>
    </row>
    <row r="13" customFormat="false" ht="15" hidden="false" customHeight="false" outlineLevel="0" collapsed="false">
      <c r="A13" s="4" t="s">
        <v>12</v>
      </c>
      <c r="B13" s="5"/>
      <c r="C13" s="5"/>
      <c r="D13" s="5"/>
      <c r="E13" s="5"/>
    </row>
    <row r="14" customFormat="false" ht="23.85" hidden="false" customHeight="false" outlineLevel="0" collapsed="false">
      <c r="A14" s="11" t="s">
        <v>13</v>
      </c>
      <c r="B14" s="12" t="s">
        <v>14</v>
      </c>
      <c r="C14" s="12" t="s">
        <v>15</v>
      </c>
      <c r="D14" s="12" t="s">
        <v>16</v>
      </c>
      <c r="E14" s="12" t="s">
        <v>17</v>
      </c>
      <c r="G14" s="3" t="s">
        <v>18</v>
      </c>
    </row>
    <row r="15" customFormat="false" ht="15" hidden="false" customHeight="false" outlineLevel="0" collapsed="false">
      <c r="A15" s="7" t="s">
        <v>19</v>
      </c>
      <c r="B15" s="8" t="n">
        <v>28000</v>
      </c>
      <c r="C15" s="9" t="n">
        <v>406000</v>
      </c>
      <c r="D15" s="10" t="n">
        <v>2034</v>
      </c>
      <c r="E15" s="13" t="n">
        <f aca="false">IF(N(B15)=0,"",C15/B15)</f>
        <v>14.5</v>
      </c>
    </row>
    <row r="16" customFormat="false" ht="15" hidden="false" customHeight="false" outlineLevel="0" collapsed="false">
      <c r="A16" s="7" t="s">
        <v>20</v>
      </c>
      <c r="B16" s="8" t="n">
        <v>11000</v>
      </c>
      <c r="C16" s="9" t="n">
        <v>198000</v>
      </c>
      <c r="D16" s="10" t="n">
        <v>2031</v>
      </c>
      <c r="E16" s="13" t="n">
        <f aca="false">IF(N(B16)=0,"",C16/B16)</f>
        <v>18</v>
      </c>
    </row>
    <row r="17" customFormat="false" ht="15" hidden="false" customHeight="false" outlineLevel="0" collapsed="false">
      <c r="A17" s="7" t="s">
        <v>21</v>
      </c>
      <c r="B17" s="8" t="n">
        <v>6000</v>
      </c>
      <c r="C17" s="9" t="n">
        <v>96000</v>
      </c>
      <c r="D17" s="10" t="n">
        <v>2029</v>
      </c>
      <c r="E17" s="13" t="n">
        <f aca="false">IF(N(B17)=0,"",C17/B17)</f>
        <v>16</v>
      </c>
    </row>
    <row r="18" customFormat="false" ht="15" hidden="false" customHeight="false" outlineLevel="0" collapsed="false">
      <c r="A18" s="7" t="s">
        <v>22</v>
      </c>
      <c r="B18" s="8" t="n">
        <v>4000</v>
      </c>
      <c r="C18" s="9" t="n">
        <v>96000</v>
      </c>
      <c r="D18" s="10" t="n">
        <v>2030</v>
      </c>
      <c r="E18" s="13" t="n">
        <f aca="false">IF(N(B18)=0,"",C18/B18)</f>
        <v>24</v>
      </c>
    </row>
    <row r="19" customFormat="false" ht="15" hidden="false" customHeight="false" outlineLevel="0" collapsed="false">
      <c r="A19" s="7" t="s">
        <v>23</v>
      </c>
      <c r="B19" s="8" t="n">
        <v>4500</v>
      </c>
      <c r="C19" s="9" t="n">
        <v>76500</v>
      </c>
      <c r="D19" s="10" t="n">
        <v>2028</v>
      </c>
      <c r="E19" s="13" t="n">
        <f aca="false">IF(N(B19)=0,"",C19/B19)</f>
        <v>17</v>
      </c>
    </row>
    <row r="20" customFormat="false" ht="15" hidden="false" customHeight="false" outlineLevel="0" collapsed="false">
      <c r="A20" s="7" t="s">
        <v>24</v>
      </c>
      <c r="B20" s="8" t="n">
        <v>2500</v>
      </c>
      <c r="C20" s="9" t="n">
        <v>60000</v>
      </c>
      <c r="D20" s="10" t="n">
        <v>2032</v>
      </c>
      <c r="E20" s="13" t="n">
        <f aca="false">IF(N(B20)=0,"",C20/B20)</f>
        <v>24</v>
      </c>
    </row>
    <row r="21" customFormat="false" ht="15" hidden="false" customHeight="false" outlineLevel="0" collapsed="false">
      <c r="A21" s="7" t="s">
        <v>25</v>
      </c>
      <c r="B21" s="8" t="n">
        <v>2000</v>
      </c>
      <c r="C21" s="9" t="n">
        <v>60000</v>
      </c>
      <c r="D21" s="10" t="n">
        <v>2033</v>
      </c>
      <c r="E21" s="13" t="n">
        <f aca="false">IF(N(B21)=0,"",C21/B21)</f>
        <v>30</v>
      </c>
    </row>
    <row r="22" customFormat="false" ht="15" hidden="false" customHeight="false" outlineLevel="0" collapsed="false">
      <c r="A22" s="7" t="s">
        <v>26</v>
      </c>
      <c r="B22" s="8" t="n">
        <v>1500</v>
      </c>
      <c r="C22" s="9" t="n">
        <v>39000</v>
      </c>
      <c r="D22" s="10" t="n">
        <v>2028</v>
      </c>
      <c r="E22" s="13" t="n">
        <f aca="false">IF(N(B22)=0,"",C22/B22)</f>
        <v>26</v>
      </c>
    </row>
    <row r="23" customFormat="false" ht="15" hidden="false" customHeight="false" outlineLevel="0" collapsed="false">
      <c r="A23" s="7" t="s">
        <v>27</v>
      </c>
      <c r="B23" s="8" t="n">
        <v>1500</v>
      </c>
      <c r="C23" s="9" t="n">
        <v>33000</v>
      </c>
      <c r="D23" s="10" t="n">
        <v>2027</v>
      </c>
      <c r="E23" s="13" t="n">
        <f aca="false">IF(N(B23)=0,"",C23/B23)</f>
        <v>22</v>
      </c>
    </row>
    <row r="24" customFormat="false" ht="15" hidden="false" customHeight="false" outlineLevel="0" collapsed="false">
      <c r="A24" s="7" t="s">
        <v>28</v>
      </c>
      <c r="B24" s="8" t="n">
        <v>3000</v>
      </c>
      <c r="C24" s="9" t="n">
        <v>54000</v>
      </c>
      <c r="D24" s="10"/>
      <c r="E24" s="13" t="n">
        <f aca="false">IF(N(B24)=0,"",C24/B24)</f>
        <v>18</v>
      </c>
    </row>
    <row r="25" customFormat="false" ht="15" hidden="false" customHeight="false" outlineLevel="0" collapsed="false">
      <c r="A25" s="7"/>
      <c r="B25" s="8"/>
      <c r="C25" s="9"/>
      <c r="D25" s="10"/>
      <c r="E25" s="13" t="str">
        <f aca="false">IF(N(B25)=0,"",C25/B25)</f>
        <v/>
      </c>
    </row>
    <row r="26" customFormat="false" ht="15" hidden="false" customHeight="false" outlineLevel="0" collapsed="false">
      <c r="A26" s="7"/>
      <c r="B26" s="8"/>
      <c r="C26" s="9"/>
      <c r="D26" s="10"/>
      <c r="E26" s="13" t="str">
        <f aca="false">IF(N(B26)=0,"",C26/B26)</f>
        <v/>
      </c>
    </row>
    <row r="27" customFormat="false" ht="15" hidden="false" customHeight="false" outlineLevel="0" collapsed="false">
      <c r="A27" s="7"/>
      <c r="B27" s="8"/>
      <c r="C27" s="9"/>
      <c r="D27" s="10"/>
      <c r="E27" s="13" t="str">
        <f aca="false">IF(N(B27)=0,"",C27/B27)</f>
        <v/>
      </c>
    </row>
    <row r="28" customFormat="false" ht="15" hidden="false" customHeight="false" outlineLevel="0" collapsed="false">
      <c r="A28" s="7"/>
      <c r="B28" s="8"/>
      <c r="C28" s="9"/>
      <c r="D28" s="10"/>
      <c r="E28" s="13" t="str">
        <f aca="false">IF(N(B28)=0,"",C28/B28)</f>
        <v/>
      </c>
    </row>
    <row r="29" customFormat="false" ht="15" hidden="false" customHeight="false" outlineLevel="0" collapsed="false">
      <c r="A29" s="7"/>
      <c r="B29" s="8"/>
      <c r="C29" s="9"/>
      <c r="D29" s="10"/>
      <c r="E29" s="13" t="str">
        <f aca="false">IF(N(B29)=0,"",C29/B29)</f>
        <v/>
      </c>
    </row>
    <row r="30" customFormat="false" ht="15" hidden="false" customHeight="false" outlineLevel="0" collapsed="false">
      <c r="A30" s="7"/>
      <c r="B30" s="8"/>
      <c r="C30" s="9"/>
      <c r="D30" s="10"/>
      <c r="E30" s="13" t="str">
        <f aca="false">IF(N(B30)=0,"",C30/B30)</f>
        <v/>
      </c>
    </row>
    <row r="31" customFormat="false" ht="15" hidden="false" customHeight="false" outlineLevel="0" collapsed="false">
      <c r="A31" s="6" t="s">
        <v>29</v>
      </c>
      <c r="B31" s="14" t="n">
        <f aca="false">SUM(B15:B30)</f>
        <v>64000</v>
      </c>
      <c r="C31" s="15" t="n">
        <f aca="false">SUM(C15:C30)</f>
        <v>1118500</v>
      </c>
      <c r="D31" s="16"/>
      <c r="E31" s="13" t="n">
        <f aca="false">IF(B31=0,"",C31/B31)</f>
        <v>17.4765625</v>
      </c>
    </row>
    <row r="32" customFormat="false" ht="15" hidden="false" customHeight="false" outlineLevel="0" collapsed="false">
      <c r="A32" s="3" t="str">
        <f aca="false">IF(B31=Inputs!B9,"Rent roll square feet match the building.","Rent roll square feet don't match the building. Check for a missing suite.")</f>
        <v>Rent roll square feet match the building.</v>
      </c>
    </row>
    <row r="34" customFormat="false" ht="15" hidden="false" customHeight="false" outlineLevel="0" collapsed="false">
      <c r="A34" s="4" t="s">
        <v>30</v>
      </c>
      <c r="B34" s="5"/>
    </row>
    <row r="35" customFormat="false" ht="15" hidden="false" customHeight="false" outlineLevel="0" collapsed="false">
      <c r="A35" s="6" t="s">
        <v>31</v>
      </c>
      <c r="B35" s="9" t="n">
        <v>255000</v>
      </c>
      <c r="C35" s="3" t="s">
        <v>32</v>
      </c>
    </row>
    <row r="36" customFormat="false" ht="15" hidden="false" customHeight="false" outlineLevel="0" collapsed="false">
      <c r="A36" s="6" t="s">
        <v>33</v>
      </c>
      <c r="B36" s="9" t="n">
        <v>290000</v>
      </c>
      <c r="C36" s="3" t="s">
        <v>34</v>
      </c>
    </row>
    <row r="37" customFormat="false" ht="15" hidden="false" customHeight="false" outlineLevel="0" collapsed="false">
      <c r="A37" s="6" t="s">
        <v>35</v>
      </c>
      <c r="B37" s="17" t="n">
        <v>0.1</v>
      </c>
      <c r="C37" s="3" t="s">
        <v>36</v>
      </c>
    </row>
    <row r="38" customFormat="false" ht="15" hidden="false" customHeight="false" outlineLevel="0" collapsed="false">
      <c r="A38" s="6" t="s">
        <v>37</v>
      </c>
      <c r="B38" s="17" t="n">
        <v>0.04</v>
      </c>
    </row>
    <row r="39" customFormat="false" ht="15" hidden="false" customHeight="false" outlineLevel="0" collapsed="false">
      <c r="A39" s="6" t="s">
        <v>38</v>
      </c>
      <c r="B39" s="18" t="n">
        <v>0.2</v>
      </c>
    </row>
    <row r="40" customFormat="false" ht="15" hidden="false" customHeight="false" outlineLevel="0" collapsed="false">
      <c r="A40" s="6" t="s">
        <v>39</v>
      </c>
      <c r="B40" s="18" t="n">
        <v>1</v>
      </c>
      <c r="C40" s="3" t="s">
        <v>40</v>
      </c>
    </row>
    <row r="42" customFormat="false" ht="15" hidden="false" customHeight="false" outlineLevel="0" collapsed="false">
      <c r="A42" s="4" t="s">
        <v>41</v>
      </c>
      <c r="B42" s="5"/>
    </row>
    <row r="43" customFormat="false" ht="15" hidden="false" customHeight="false" outlineLevel="0" collapsed="false">
      <c r="A43" s="6" t="s">
        <v>42</v>
      </c>
      <c r="B43" s="17" t="n">
        <v>0.0725</v>
      </c>
      <c r="C43" s="3" t="s">
        <v>43</v>
      </c>
    </row>
    <row r="44" customFormat="false" ht="15" hidden="false" customHeight="false" outlineLevel="0" collapsed="false">
      <c r="A44" s="6" t="s">
        <v>44</v>
      </c>
      <c r="B44" s="10" t="n">
        <v>25</v>
      </c>
    </row>
    <row r="45" customFormat="false" ht="15" hidden="false" customHeight="false" outlineLevel="0" collapsed="false">
      <c r="A45" s="6" t="s">
        <v>45</v>
      </c>
      <c r="B45" s="10" t="n">
        <v>7</v>
      </c>
      <c r="C45" s="3" t="s">
        <v>46</v>
      </c>
    </row>
    <row r="46" customFormat="false" ht="15" hidden="false" customHeight="false" outlineLevel="0" collapsed="false">
      <c r="A46" s="6" t="s">
        <v>47</v>
      </c>
      <c r="B46" s="19" t="n">
        <v>1.25</v>
      </c>
    </row>
    <row r="47" customFormat="false" ht="15" hidden="false" customHeight="false" outlineLevel="0" collapsed="false">
      <c r="A47" s="6" t="s">
        <v>48</v>
      </c>
      <c r="B47" s="17" t="n">
        <v>0.75</v>
      </c>
    </row>
    <row r="48" customFormat="false" ht="15" hidden="false" customHeight="false" outlineLevel="0" collapsed="false">
      <c r="A48" s="6" t="s">
        <v>49</v>
      </c>
      <c r="B48" s="9" t="n">
        <v>5400000</v>
      </c>
      <c r="C48" s="3" t="s">
        <v>50</v>
      </c>
    </row>
    <row r="49" customFormat="false" ht="15" hidden="false" customHeight="false" outlineLevel="0" collapsed="false">
      <c r="A49" s="6" t="s">
        <v>51</v>
      </c>
      <c r="B49" s="17" t="n">
        <v>0.02</v>
      </c>
    </row>
    <row r="51" customFormat="false" ht="15" hidden="false" customHeight="false" outlineLevel="0" collapsed="false">
      <c r="A51" s="3" t="s">
        <v>52</v>
      </c>
    </row>
  </sheetData>
  <dataValidations count="9">
    <dataValidation allowBlank="false" errorStyle="stop" operator="between" showDropDown="false" showErrorMessage="false" showInputMessage="false" sqref="B8" type="list">
      <formula1>"Retail,Office,Industrial,Mixed use,Medical office"</formula1>
      <formula2>0</formula2>
    </dataValidation>
    <dataValidation allowBlank="false" errorStyle="stop" operator="between" showDropDown="false" showErrorMessage="false" showInputMessage="false" sqref="B44" type="whole">
      <formula1>5</formula1>
      <formula2>40</formula2>
    </dataValidation>
    <dataValidation allowBlank="false" errorStyle="stop" operator="between" showDropDown="false" showErrorMessage="false" showInputMessage="false" sqref="B45" type="whole">
      <formula1>1</formula1>
      <formula2>10</formula2>
    </dataValidation>
    <dataValidation allowBlank="false" errorStyle="stop" operator="between" showDropDown="false" showErrorMessage="false" showInputMessage="false" sqref="B11" type="whole">
      <formula1>2000</formula1>
      <formula2>2100</formula2>
    </dataValidation>
    <dataValidation allowBlank="false" errorStyle="stop" operator="between" showDropDown="false" showErrorMessage="false" showInputMessage="false" sqref="B37" type="decimal">
      <formula1>0</formula1>
      <formula2>0.5</formula2>
    </dataValidation>
    <dataValidation allowBlank="false" errorStyle="stop" operator="between" showDropDown="false" showErrorMessage="false" showInputMessage="false" sqref="B38" type="decimal">
      <formula1>0</formula1>
      <formula2>0.15</formula2>
    </dataValidation>
    <dataValidation allowBlank="false" errorStyle="stop" operator="between" showDropDown="false" showErrorMessage="false" showInputMessage="false" sqref="B43" type="decimal">
      <formula1>0.001</formula1>
      <formula2>0.2</formula2>
    </dataValidation>
    <dataValidation allowBlank="false" errorStyle="stop" operator="between" showDropDown="false" showErrorMessage="false" showInputMessage="false" sqref="B47" type="decimal">
      <formula1>0.1</formula1>
      <formula2>0.9</formula2>
    </dataValidation>
    <dataValidation allowBlank="false" errorStyle="stop" operator="between" showDropDown="false" showErrorMessage="false" showInputMessage="false" sqref="B49" type="decimal">
      <formula1>0</formula1>
      <formula2>0.1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3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8"/>
    <col collapsed="false" customWidth="true" hidden="false" outlineLevel="0" max="2" min="2" style="0" width="26"/>
    <col collapsed="false" customWidth="true" hidden="false" outlineLevel="0" max="3" min="3" style="0" width="14"/>
    <col collapsed="false" customWidth="true" hidden="false" outlineLevel="0" max="4" min="4" style="0" width="34"/>
    <col collapsed="false" customWidth="true" hidden="false" outlineLevel="0" max="6" min="5" style="0" width="20"/>
    <col collapsed="false" customWidth="true" hidden="false" outlineLevel="0" max="7" min="7" style="0" width="4"/>
    <col collapsed="false" customWidth="true" hidden="false" outlineLevel="0" max="8" min="8" style="0" width="10"/>
  </cols>
  <sheetData>
    <row r="1" customFormat="false" ht="27.75" hidden="false" customHeight="true" outlineLevel="0" collapsed="false">
      <c r="A1" s="1" t="s">
        <v>53</v>
      </c>
      <c r="B1" s="2"/>
      <c r="C1" s="2"/>
      <c r="D1" s="2"/>
      <c r="E1" s="2"/>
      <c r="F1" s="2"/>
      <c r="G1" s="2"/>
      <c r="H1" s="2"/>
    </row>
    <row r="3" customFormat="false" ht="15" hidden="false" customHeight="false" outlineLevel="0" collapsed="false">
      <c r="A3" s="3" t="s">
        <v>54</v>
      </c>
    </row>
    <row r="5" customFormat="false" ht="15" hidden="false" customHeight="false" outlineLevel="0" collapsed="false">
      <c r="A5" s="4" t="s">
        <v>55</v>
      </c>
      <c r="B5" s="5"/>
      <c r="D5" s="4" t="s">
        <v>56</v>
      </c>
      <c r="E5" s="5"/>
      <c r="F5" s="5"/>
    </row>
    <row r="6" customFormat="false" ht="15" hidden="false" customHeight="false" outlineLevel="0" collapsed="false">
      <c r="A6" s="6" t="s">
        <v>2</v>
      </c>
      <c r="B6" s="16" t="str">
        <f aca="false">Inputs!$B$6</f>
        <v>Fictional Cedar Crossing</v>
      </c>
      <c r="D6" s="11"/>
      <c r="E6" s="12" t="s">
        <v>57</v>
      </c>
      <c r="F6" s="12" t="s">
        <v>58</v>
      </c>
    </row>
    <row r="7" customFormat="false" ht="15" hidden="false" customHeight="false" outlineLevel="0" collapsed="false">
      <c r="A7" s="6" t="s">
        <v>59</v>
      </c>
      <c r="B7" s="16" t="str">
        <f aca="false">Inputs!$B$7</f>
        <v>Tulsa, OK</v>
      </c>
      <c r="D7" s="6" t="s">
        <v>60</v>
      </c>
      <c r="E7" s="15" t="n">
        <f aca="false">Loan!B23</f>
        <v>7788000</v>
      </c>
      <c r="F7" s="15" t="n">
        <f aca="false">Loan!C23</f>
        <v>8850000</v>
      </c>
    </row>
    <row r="8" customFormat="false" ht="15" hidden="false" customHeight="false" outlineLevel="0" collapsed="false">
      <c r="A8" s="6" t="s">
        <v>61</v>
      </c>
      <c r="B8" s="16" t="str">
        <f aca="false">Inputs!$B$8</f>
        <v>Retail</v>
      </c>
      <c r="D8" s="6" t="s">
        <v>62</v>
      </c>
      <c r="E8" s="13" t="n">
        <f aca="false">Loan!B25</f>
        <v>56292.1985758873</v>
      </c>
      <c r="F8" s="13" t="n">
        <f aca="false">Loan!C25</f>
        <v>53468.75</v>
      </c>
    </row>
    <row r="9" customFormat="false" ht="15" hidden="false" customHeight="false" outlineLevel="0" collapsed="false">
      <c r="A9" s="6" t="s">
        <v>14</v>
      </c>
      <c r="B9" s="20" t="n">
        <f aca="false">Inputs!$B$9</f>
        <v>64000</v>
      </c>
      <c r="D9" s="6" t="s">
        <v>63</v>
      </c>
      <c r="E9" s="21" t="n">
        <f aca="false">Loan!B26</f>
        <v>1.25000151199414</v>
      </c>
      <c r="F9" s="21" t="n">
        <f aca="false">Loan!C26</f>
        <v>1.31600857198519</v>
      </c>
    </row>
    <row r="10" customFormat="false" ht="15" hidden="false" customHeight="false" outlineLevel="0" collapsed="false">
      <c r="A10" s="6" t="s">
        <v>64</v>
      </c>
      <c r="B10" s="22" t="n">
        <f aca="false">Inputs!$B$10</f>
        <v>11800000</v>
      </c>
      <c r="D10" s="6" t="s">
        <v>65</v>
      </c>
      <c r="E10" s="23" t="n">
        <f aca="false">Loan!B27</f>
        <v>0.108421160760144</v>
      </c>
      <c r="F10" s="23" t="n">
        <f aca="false">Loan!C27</f>
        <v>0.0954106214689266</v>
      </c>
    </row>
    <row r="11" customFormat="false" ht="15" hidden="false" customHeight="false" outlineLevel="0" collapsed="false">
      <c r="A11" s="6" t="s">
        <v>66</v>
      </c>
      <c r="B11" s="24" t="n">
        <f aca="false">Rollover!$D$24</f>
        <v>0.953125</v>
      </c>
      <c r="D11" s="6" t="s">
        <v>67</v>
      </c>
      <c r="E11" s="15" t="n">
        <f aca="false">Loan!B30</f>
        <v>2232240</v>
      </c>
      <c r="F11" s="15" t="n">
        <f aca="false">Loan!C30</f>
        <v>3273000</v>
      </c>
    </row>
    <row r="12" customFormat="false" ht="15" hidden="false" customHeight="false" outlineLevel="0" collapsed="false">
      <c r="A12" s="6" t="s">
        <v>68</v>
      </c>
      <c r="B12" s="22" t="n">
        <f aca="false">Loan!$B$15</f>
        <v>844384</v>
      </c>
      <c r="D12" s="6" t="s">
        <v>69</v>
      </c>
      <c r="E12" s="25" t="str">
        <f aca="false">Loan!B24</f>
        <v>Income</v>
      </c>
      <c r="F12" s="25" t="str">
        <f aca="false">Loan!C24</f>
        <v>Value</v>
      </c>
    </row>
    <row r="13" customFormat="false" ht="15" hidden="false" customHeight="false" outlineLevel="0" collapsed="false">
      <c r="A13" s="6" t="s">
        <v>70</v>
      </c>
      <c r="B13" s="23" t="n">
        <f aca="false">Inputs!$B$43</f>
        <v>0.0725</v>
      </c>
    </row>
    <row r="14" customFormat="false" ht="15" hidden="false" customHeight="false" outlineLevel="0" collapsed="false">
      <c r="D14" s="6" t="s">
        <v>71</v>
      </c>
      <c r="E14" s="26" t="n">
        <f aca="false">Rollover!$D$21</f>
        <v>0.618600281822452</v>
      </c>
    </row>
    <row r="15" customFormat="false" ht="15" hidden="false" customHeight="false" outlineLevel="0" collapsed="false">
      <c r="D15" s="6" t="s">
        <v>72</v>
      </c>
      <c r="E15" s="26" t="n">
        <f aca="false">Rollover!$D$22</f>
        <v>0.381399718177548</v>
      </c>
    </row>
    <row r="17" customFormat="false" ht="15" hidden="false" customHeight="false" outlineLevel="0" collapsed="false">
      <c r="A17" s="4" t="s">
        <v>73</v>
      </c>
      <c r="B17" s="5"/>
    </row>
    <row r="18" customFormat="false" ht="15" hidden="false" customHeight="false" outlineLevel="0" collapsed="false">
      <c r="A18" s="27" t="s">
        <v>74</v>
      </c>
      <c r="B18" s="27" t="s">
        <v>75</v>
      </c>
    </row>
    <row r="19" customFormat="false" ht="15" hidden="false" customHeight="false" outlineLevel="0" collapsed="false">
      <c r="A19" s="28" t="str">
        <f aca="false">TEXT(Rollover!A6,"0")</f>
        <v>2027</v>
      </c>
      <c r="B19" s="29" t="n">
        <f aca="false">Rollover!C6</f>
        <v>33000</v>
      </c>
    </row>
    <row r="20" customFormat="false" ht="15" hidden="false" customHeight="false" outlineLevel="0" collapsed="false">
      <c r="A20" s="28" t="str">
        <f aca="false">TEXT(Rollover!A7,"0")</f>
        <v>2028</v>
      </c>
      <c r="B20" s="29" t="n">
        <f aca="false">Rollover!C7</f>
        <v>115500</v>
      </c>
    </row>
    <row r="21" customFormat="false" ht="15" hidden="false" customHeight="false" outlineLevel="0" collapsed="false">
      <c r="A21" s="28" t="str">
        <f aca="false">TEXT(Rollover!A8,"0")</f>
        <v>2029</v>
      </c>
      <c r="B21" s="29" t="n">
        <f aca="false">Rollover!C8</f>
        <v>96000</v>
      </c>
    </row>
    <row r="22" customFormat="false" ht="15" hidden="false" customHeight="false" outlineLevel="0" collapsed="false">
      <c r="A22" s="28" t="str">
        <f aca="false">TEXT(Rollover!A9,"0")</f>
        <v>2030</v>
      </c>
      <c r="B22" s="29" t="n">
        <f aca="false">Rollover!C9</f>
        <v>96000</v>
      </c>
    </row>
    <row r="23" customFormat="false" ht="15" hidden="false" customHeight="false" outlineLevel="0" collapsed="false">
      <c r="A23" s="28" t="str">
        <f aca="false">TEXT(Rollover!A10,"0")</f>
        <v>2031</v>
      </c>
      <c r="B23" s="29" t="n">
        <f aca="false">Rollover!C10</f>
        <v>198000</v>
      </c>
    </row>
    <row r="24" customFormat="false" ht="15" hidden="false" customHeight="false" outlineLevel="0" collapsed="false">
      <c r="A24" s="28" t="str">
        <f aca="false">TEXT(Rollover!A11,"0")</f>
        <v>2032</v>
      </c>
      <c r="B24" s="29" t="n">
        <f aca="false">Rollover!C11</f>
        <v>60000</v>
      </c>
    </row>
    <row r="25" customFormat="false" ht="15" hidden="false" customHeight="false" outlineLevel="0" collapsed="false">
      <c r="A25" s="28" t="str">
        <f aca="false">TEXT(Rollover!A12,"0")</f>
        <v>2033</v>
      </c>
      <c r="B25" s="29" t="n">
        <f aca="false">Rollover!C12</f>
        <v>60000</v>
      </c>
    </row>
    <row r="26" customFormat="false" ht="15" hidden="false" customHeight="false" outlineLevel="0" collapsed="false">
      <c r="A26" s="28" t="str">
        <f aca="false">TEXT(Rollover!A13,"0")</f>
        <v>2034</v>
      </c>
      <c r="B26" s="29" t="n">
        <f aca="false">Rollover!C13</f>
        <v>406000</v>
      </c>
    </row>
    <row r="27" customFormat="false" ht="15" hidden="false" customHeight="false" outlineLevel="0" collapsed="false">
      <c r="A27" s="28" t="str">
        <f aca="false">TEXT(Rollover!A14,"0")</f>
        <v>2035</v>
      </c>
      <c r="B27" s="29" t="n">
        <f aca="false">Rollover!C14</f>
        <v>0</v>
      </c>
    </row>
    <row r="28" customFormat="false" ht="15" hidden="false" customHeight="false" outlineLevel="0" collapsed="false">
      <c r="A28" s="28" t="str">
        <f aca="false">TEXT(Rollover!A15,"0")</f>
        <v>2036</v>
      </c>
      <c r="B28" s="29" t="n">
        <f aca="false">Rollover!C15</f>
        <v>0</v>
      </c>
    </row>
    <row r="29" customFormat="false" ht="15" hidden="false" customHeight="false" outlineLevel="0" collapsed="false">
      <c r="A29" s="28" t="str">
        <f aca="false">TEXT(Rollover!A16,"0")</f>
        <v>2037</v>
      </c>
      <c r="B29" s="29" t="n">
        <f aca="false">Rollover!C16</f>
        <v>0</v>
      </c>
    </row>
    <row r="30" customFormat="false" ht="15" hidden="false" customHeight="false" outlineLevel="0" collapsed="false">
      <c r="A30" s="28" t="str">
        <f aca="false">TEXT(Rollover!A17,"0")</f>
        <v>2038</v>
      </c>
      <c r="B30" s="29" t="n">
        <f aca="false">Rollover!C17</f>
        <v>0</v>
      </c>
    </row>
    <row r="32" customFormat="false" ht="15" hidden="false" customHeight="false" outlineLevel="0" collapsed="false">
      <c r="A32" s="3" t="s">
        <v>52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4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0"/>
    <col collapsed="false" customWidth="true" hidden="false" outlineLevel="0" max="4" min="2" style="0" width="20"/>
    <col collapsed="false" customWidth="true" hidden="false" outlineLevel="0" max="5" min="5" style="0" width="46"/>
  </cols>
  <sheetData>
    <row r="1" customFormat="false" ht="27.75" hidden="false" customHeight="true" outlineLevel="0" collapsed="false">
      <c r="A1" s="1" t="s">
        <v>76</v>
      </c>
      <c r="B1" s="2"/>
      <c r="C1" s="2"/>
      <c r="D1" s="2"/>
      <c r="E1" s="2"/>
    </row>
    <row r="3" customFormat="false" ht="15" hidden="false" customHeight="false" outlineLevel="0" collapsed="false">
      <c r="A3" s="3" t="s">
        <v>77</v>
      </c>
    </row>
    <row r="5" customFormat="false" ht="15" hidden="false" customHeight="false" outlineLevel="0" collapsed="false">
      <c r="A5" s="4" t="s">
        <v>68</v>
      </c>
      <c r="B5" s="5"/>
    </row>
    <row r="6" customFormat="false" ht="15" hidden="false" customHeight="false" outlineLevel="0" collapsed="false">
      <c r="A6" s="6" t="s">
        <v>78</v>
      </c>
      <c r="B6" s="22" t="n">
        <f aca="false">SUM(Inputs!$C$15:$C$30)</f>
        <v>1118500</v>
      </c>
    </row>
    <row r="7" customFormat="false" ht="15" hidden="false" customHeight="false" outlineLevel="0" collapsed="false">
      <c r="A7" s="6" t="s">
        <v>79</v>
      </c>
      <c r="B7" s="22" t="n">
        <f aca="false">SUMIF(Inputs!$A$15:$A$30,"Vacant",Inputs!$C$15:$C$30)</f>
        <v>54000</v>
      </c>
    </row>
    <row r="8" customFormat="false" ht="15" hidden="false" customHeight="false" outlineLevel="0" collapsed="false">
      <c r="A8" s="6" t="s">
        <v>80</v>
      </c>
      <c r="B8" s="22" t="n">
        <f aca="false">MAX(B7,B6*Inputs!$B$37)</f>
        <v>111850</v>
      </c>
      <c r="E8" s="3" t="s">
        <v>81</v>
      </c>
    </row>
    <row r="9" customFormat="false" ht="15" hidden="false" customHeight="false" outlineLevel="0" collapsed="false">
      <c r="A9" s="6" t="s">
        <v>82</v>
      </c>
      <c r="B9" s="22" t="n">
        <f aca="false">Inputs!$B$35</f>
        <v>255000</v>
      </c>
    </row>
    <row r="10" customFormat="false" ht="15" hidden="false" customHeight="false" outlineLevel="0" collapsed="false">
      <c r="A10" s="6" t="s">
        <v>83</v>
      </c>
      <c r="B10" s="22" t="n">
        <f aca="false">B6-B8+B9</f>
        <v>1261650</v>
      </c>
    </row>
    <row r="11" customFormat="false" ht="15" hidden="false" customHeight="false" outlineLevel="0" collapsed="false">
      <c r="A11" s="6" t="s">
        <v>33</v>
      </c>
      <c r="B11" s="22" t="n">
        <f aca="false">Inputs!$B$36</f>
        <v>290000</v>
      </c>
    </row>
    <row r="12" customFormat="false" ht="15" hidden="false" customHeight="false" outlineLevel="0" collapsed="false">
      <c r="A12" s="6" t="s">
        <v>84</v>
      </c>
      <c r="B12" s="22" t="n">
        <f aca="false">B10*Inputs!$B$38</f>
        <v>50466</v>
      </c>
    </row>
    <row r="13" customFormat="false" ht="15" hidden="false" customHeight="false" outlineLevel="0" collapsed="false">
      <c r="A13" s="6" t="s">
        <v>85</v>
      </c>
      <c r="B13" s="22" t="n">
        <f aca="false">Inputs!$B$39*Inputs!$B$9</f>
        <v>12800</v>
      </c>
    </row>
    <row r="14" customFormat="false" ht="15" hidden="false" customHeight="false" outlineLevel="0" collapsed="false">
      <c r="A14" s="6" t="s">
        <v>86</v>
      </c>
      <c r="B14" s="22" t="n">
        <f aca="false">Inputs!$B$40*Inputs!$B$9</f>
        <v>64000</v>
      </c>
    </row>
    <row r="15" customFormat="false" ht="15" hidden="false" customHeight="false" outlineLevel="0" collapsed="false">
      <c r="A15" s="6" t="s">
        <v>68</v>
      </c>
      <c r="B15" s="15" t="n">
        <f aca="false">B10-B11-B12-B13-B14</f>
        <v>844384</v>
      </c>
    </row>
    <row r="16" customFormat="false" ht="15" hidden="false" customHeight="false" outlineLevel="0" collapsed="false">
      <c r="A16" s="6" t="s">
        <v>87</v>
      </c>
      <c r="B16" s="23" t="n">
        <f aca="false">IF(Inputs!$B$10=0,0,B15/Inputs!$B$10)</f>
        <v>0.0715579661016949</v>
      </c>
    </row>
    <row r="17" customFormat="false" ht="15" hidden="false" customHeight="false" outlineLevel="0" collapsed="false">
      <c r="A17" s="6" t="s">
        <v>88</v>
      </c>
      <c r="B17" s="22" t="n">
        <f aca="false">B15/Inputs!$B$46</f>
        <v>675507.2</v>
      </c>
      <c r="E17" s="3" t="s">
        <v>89</v>
      </c>
    </row>
    <row r="19" customFormat="false" ht="15" hidden="false" customHeight="false" outlineLevel="0" collapsed="false">
      <c r="A19" s="4" t="s">
        <v>90</v>
      </c>
      <c r="B19" s="5"/>
      <c r="C19" s="5"/>
      <c r="D19" s="5"/>
    </row>
    <row r="20" customFormat="false" ht="15" hidden="false" customHeight="false" outlineLevel="0" collapsed="false">
      <c r="A20" s="11"/>
      <c r="B20" s="12" t="s">
        <v>57</v>
      </c>
      <c r="C20" s="12" t="s">
        <v>58</v>
      </c>
      <c r="D20" s="12" t="s">
        <v>91</v>
      </c>
    </row>
    <row r="21" customFormat="false" ht="15" hidden="false" customHeight="false" outlineLevel="0" collapsed="false">
      <c r="A21" s="6" t="s">
        <v>92</v>
      </c>
      <c r="B21" s="22" t="n">
        <f aca="false">ROUNDDOWN(PV(Inputs!$B$43/12,Inputs!$B$44*12,-$B$17/12),-3)</f>
        <v>7788000</v>
      </c>
      <c r="C21" s="22" t="n">
        <f aca="false">IF(Inputs!$B$43&lt;=0,0,ROUNDDOWN($B$17/Inputs!$B$43,-3))</f>
        <v>9317000</v>
      </c>
      <c r="D21" s="22" t="n">
        <f aca="false">C21-B21</f>
        <v>1529000</v>
      </c>
    </row>
    <row r="22" customFormat="false" ht="15" hidden="false" customHeight="false" outlineLevel="0" collapsed="false">
      <c r="A22" s="6" t="s">
        <v>93</v>
      </c>
      <c r="B22" s="22" t="n">
        <f aca="false">ROUNDDOWN(Inputs!$B$10*Inputs!$B$47,-3)</f>
        <v>8850000</v>
      </c>
      <c r="C22" s="22" t="n">
        <f aca="false">ROUNDDOWN(Inputs!$B$10*Inputs!$B$47,-3)</f>
        <v>8850000</v>
      </c>
      <c r="D22" s="22" t="n">
        <f aca="false">C22-B22</f>
        <v>0</v>
      </c>
    </row>
    <row r="23" customFormat="false" ht="15" hidden="false" customHeight="false" outlineLevel="0" collapsed="false">
      <c r="A23" s="6" t="s">
        <v>60</v>
      </c>
      <c r="B23" s="15" t="n">
        <f aca="false">MIN(B21,B22)</f>
        <v>7788000</v>
      </c>
      <c r="C23" s="15" t="n">
        <f aca="false">MIN(C21,C22)</f>
        <v>8850000</v>
      </c>
      <c r="D23" s="15" t="n">
        <f aca="false">C23-B23</f>
        <v>1062000</v>
      </c>
      <c r="E23" s="3" t="s">
        <v>94</v>
      </c>
    </row>
    <row r="24" customFormat="false" ht="15" hidden="false" customHeight="false" outlineLevel="0" collapsed="false">
      <c r="A24" s="6" t="s">
        <v>69</v>
      </c>
      <c r="B24" s="25" t="str">
        <f aca="false">IF(B21&lt;B22,"Income","Value")</f>
        <v>Income</v>
      </c>
      <c r="C24" s="25" t="str">
        <f aca="false">IF(C21&lt;C22,"Income","Value")</f>
        <v>Value</v>
      </c>
      <c r="D24" s="16"/>
    </row>
    <row r="25" customFormat="false" ht="15" hidden="false" customHeight="false" outlineLevel="0" collapsed="false">
      <c r="A25" s="6" t="s">
        <v>62</v>
      </c>
      <c r="B25" s="13" t="n">
        <f aca="false">PMT(Inputs!$B$43/12,Inputs!$B$44*12,-B23)</f>
        <v>56292.1985758873</v>
      </c>
      <c r="C25" s="13" t="n">
        <f aca="false">C23*Inputs!$B$43/12</f>
        <v>53468.75</v>
      </c>
      <c r="D25" s="13" t="n">
        <f aca="false">C25-B25</f>
        <v>-2823.44857588727</v>
      </c>
    </row>
    <row r="26" customFormat="false" ht="15" hidden="false" customHeight="false" outlineLevel="0" collapsed="false">
      <c r="A26" s="6" t="s">
        <v>63</v>
      </c>
      <c r="B26" s="21" t="n">
        <f aca="false">IF(B25=0,0,$B$15/(B25*12))</f>
        <v>1.25000151199414</v>
      </c>
      <c r="C26" s="21" t="n">
        <f aca="false">IF(C25=0,0,$B$15/(C25*12))</f>
        <v>1.31600857198519</v>
      </c>
      <c r="D26" s="21" t="n">
        <f aca="false">C26-B26</f>
        <v>0.0660070599910561</v>
      </c>
    </row>
    <row r="27" customFormat="false" ht="15" hidden="false" customHeight="false" outlineLevel="0" collapsed="false">
      <c r="A27" s="6" t="s">
        <v>65</v>
      </c>
      <c r="B27" s="23" t="n">
        <f aca="false">IF(B23=0,0,$B$15/B23)</f>
        <v>0.108421160760144</v>
      </c>
      <c r="C27" s="23" t="n">
        <f aca="false">IF(C23=0,0,$B$15/C23)</f>
        <v>0.0954106214689266</v>
      </c>
      <c r="D27" s="23" t="n">
        <f aca="false">C27-B27</f>
        <v>-0.0130105392912173</v>
      </c>
      <c r="E27" s="3" t="s">
        <v>95</v>
      </c>
    </row>
    <row r="28" customFormat="false" ht="15" hidden="false" customHeight="false" outlineLevel="0" collapsed="false">
      <c r="A28" s="6" t="s">
        <v>96</v>
      </c>
      <c r="B28" s="23" t="n">
        <f aca="false">IF(Inputs!$B$10=0,0,B23/Inputs!$B$10)</f>
        <v>0.66</v>
      </c>
      <c r="C28" s="23" t="n">
        <f aca="false">IF(Inputs!$B$10=0,0,C23/Inputs!$B$10)</f>
        <v>0.75</v>
      </c>
      <c r="D28" s="23" t="n">
        <f aca="false">C28-B28</f>
        <v>0.09</v>
      </c>
    </row>
    <row r="29" customFormat="false" ht="15" hidden="false" customHeight="false" outlineLevel="0" collapsed="false">
      <c r="A29" s="6" t="s">
        <v>97</v>
      </c>
      <c r="B29" s="22" t="n">
        <f aca="false">$B$15-B25*12</f>
        <v>168877.617089353</v>
      </c>
      <c r="C29" s="22" t="n">
        <f aca="false">$B$15-C25*12</f>
        <v>202759</v>
      </c>
      <c r="D29" s="22" t="n">
        <f aca="false">C29-B29</f>
        <v>33881.3829106472</v>
      </c>
    </row>
    <row r="30" customFormat="false" ht="15" hidden="false" customHeight="false" outlineLevel="0" collapsed="false">
      <c r="A30" s="6" t="s">
        <v>67</v>
      </c>
      <c r="B30" s="15" t="n">
        <f aca="false">B23-Inputs!$B$48-B23*Inputs!$B$49</f>
        <v>2232240</v>
      </c>
      <c r="C30" s="15" t="n">
        <f aca="false">C23-Inputs!$B$48-C23*Inputs!$B$49</f>
        <v>3273000</v>
      </c>
      <c r="D30" s="15" t="n">
        <f aca="false">C30-B30</f>
        <v>1040760</v>
      </c>
      <c r="E30" s="3" t="s">
        <v>98</v>
      </c>
    </row>
    <row r="31" customFormat="false" ht="15" hidden="false" customHeight="false" outlineLevel="0" collapsed="false">
      <c r="A31" s="6" t="s">
        <v>99</v>
      </c>
      <c r="B31" s="22" t="n">
        <f aca="false">-FV(Inputs!$B$43/12,Inputs!$B$45*12,-B25,B23)</f>
        <v>6780785.67084172</v>
      </c>
      <c r="C31" s="22" t="n">
        <f aca="false">C23</f>
        <v>8850000</v>
      </c>
      <c r="D31" s="22" t="n">
        <f aca="false">C31-B31</f>
        <v>2069214.32915828</v>
      </c>
    </row>
    <row r="33" customFormat="false" ht="15" hidden="false" customHeight="false" outlineLevel="0" collapsed="false">
      <c r="A33" s="4" t="s">
        <v>100</v>
      </c>
      <c r="B33" s="5"/>
      <c r="C33" s="5"/>
      <c r="D33" s="5"/>
    </row>
    <row r="34" customFormat="false" ht="15" hidden="false" customHeight="false" outlineLevel="0" collapsed="false">
      <c r="A34" s="11" t="s">
        <v>101</v>
      </c>
      <c r="B34" s="12" t="s">
        <v>102</v>
      </c>
      <c r="C34" s="12" t="s">
        <v>103</v>
      </c>
      <c r="D34" s="12" t="s">
        <v>104</v>
      </c>
    </row>
    <row r="35" customFormat="false" ht="15" hidden="false" customHeight="false" outlineLevel="0" collapsed="false">
      <c r="A35" s="23" t="n">
        <f aca="false">MAX(0.0025,Inputs!$B$43+(-0.01))</f>
        <v>0.0625</v>
      </c>
      <c r="B35" s="22" t="n">
        <f aca="false">MIN($B$22,ROUNDDOWN(PV(A35/12,Inputs!$B$44*12,-$B$17/12),-3))</f>
        <v>8533000</v>
      </c>
      <c r="C35" s="22" t="n">
        <f aca="false">MIN($C$22,ROUNDDOWN($B$17/A35,-3))</f>
        <v>8850000</v>
      </c>
      <c r="D35" s="22" t="n">
        <f aca="false">C35-B35</f>
        <v>317000</v>
      </c>
    </row>
    <row r="36" customFormat="false" ht="15" hidden="false" customHeight="false" outlineLevel="0" collapsed="false">
      <c r="A36" s="23" t="n">
        <f aca="false">MAX(0.0025,Inputs!$B$43+(-0.005))</f>
        <v>0.0675</v>
      </c>
      <c r="B36" s="22" t="n">
        <f aca="false">MIN($B$22,ROUNDDOWN(PV(A36/12,Inputs!$B$44*12,-$B$17/12),-3))</f>
        <v>8147000</v>
      </c>
      <c r="C36" s="22" t="n">
        <f aca="false">MIN($C$22,ROUNDDOWN($B$17/A36,-3))</f>
        <v>8850000</v>
      </c>
      <c r="D36" s="22" t="n">
        <f aca="false">C36-B36</f>
        <v>703000</v>
      </c>
    </row>
    <row r="37" customFormat="false" ht="15" hidden="false" customHeight="false" outlineLevel="0" collapsed="false">
      <c r="A37" s="30" t="n">
        <f aca="false">MAX(0.0025,Inputs!$B$43+(0))</f>
        <v>0.0725</v>
      </c>
      <c r="B37" s="15" t="n">
        <f aca="false">MIN($B$22,ROUNDDOWN(PV(A37/12,Inputs!$B$44*12,-$B$17/12),-3))</f>
        <v>7788000</v>
      </c>
      <c r="C37" s="15" t="n">
        <f aca="false">MIN($C$22,ROUNDDOWN($B$17/A37,-3))</f>
        <v>8850000</v>
      </c>
      <c r="D37" s="15" t="n">
        <f aca="false">C37-B37</f>
        <v>1062000</v>
      </c>
    </row>
    <row r="38" customFormat="false" ht="15" hidden="false" customHeight="false" outlineLevel="0" collapsed="false">
      <c r="A38" s="23" t="n">
        <f aca="false">MAX(0.0025,Inputs!$B$43+(0.005))</f>
        <v>0.0775</v>
      </c>
      <c r="B38" s="22" t="n">
        <f aca="false">MIN($B$22,ROUNDDOWN(PV(A38/12,Inputs!$B$44*12,-$B$17/12),-3))</f>
        <v>7452000</v>
      </c>
      <c r="C38" s="22" t="n">
        <f aca="false">MIN($C$22,ROUNDDOWN($B$17/A38,-3))</f>
        <v>8716000</v>
      </c>
      <c r="D38" s="22" t="n">
        <f aca="false">C38-B38</f>
        <v>1264000</v>
      </c>
    </row>
    <row r="39" customFormat="false" ht="15" hidden="false" customHeight="false" outlineLevel="0" collapsed="false">
      <c r="A39" s="23" t="n">
        <f aca="false">MAX(0.0025,Inputs!$B$43+(0.01))</f>
        <v>0.0825</v>
      </c>
      <c r="B39" s="22" t="n">
        <f aca="false">MIN($B$22,ROUNDDOWN(PV(A39/12,Inputs!$B$44*12,-$B$17/12),-3))</f>
        <v>7139000</v>
      </c>
      <c r="C39" s="22" t="n">
        <f aca="false">MIN($C$22,ROUNDDOWN($B$17/A39,-3))</f>
        <v>8187000</v>
      </c>
      <c r="D39" s="22" t="n">
        <f aca="false">C39-B39</f>
        <v>1048000</v>
      </c>
    </row>
    <row r="40" customFormat="false" ht="15" hidden="false" customHeight="false" outlineLevel="0" collapsed="false">
      <c r="A40" s="3" t="s">
        <v>105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2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16"/>
    <col collapsed="false" customWidth="true" hidden="false" outlineLevel="0" max="3" min="3" style="0" width="22"/>
    <col collapsed="false" customWidth="true" hidden="false" outlineLevel="0" max="4" min="4" style="0" width="20"/>
    <col collapsed="false" customWidth="true" hidden="false" outlineLevel="0" max="5" min="5" style="0" width="22"/>
    <col collapsed="false" customWidth="true" hidden="false" outlineLevel="0" max="6" min="6" style="0" width="30"/>
  </cols>
  <sheetData>
    <row r="1" customFormat="false" ht="27.75" hidden="false" customHeight="true" outlineLevel="0" collapsed="false">
      <c r="A1" s="1" t="s">
        <v>106</v>
      </c>
      <c r="B1" s="2"/>
      <c r="C1" s="2"/>
      <c r="D1" s="2"/>
      <c r="E1" s="2"/>
      <c r="F1" s="2"/>
    </row>
    <row r="3" customFormat="false" ht="15" hidden="false" customHeight="false" outlineLevel="0" collapsed="false">
      <c r="A3" s="3" t="s">
        <v>107</v>
      </c>
    </row>
    <row r="5" customFormat="false" ht="15" hidden="false" customHeight="false" outlineLevel="0" collapsed="false">
      <c r="A5" s="31" t="s">
        <v>74</v>
      </c>
      <c r="B5" s="32" t="s">
        <v>14</v>
      </c>
      <c r="C5" s="32" t="s">
        <v>75</v>
      </c>
      <c r="D5" s="32" t="s">
        <v>108</v>
      </c>
      <c r="E5" s="32" t="s">
        <v>109</v>
      </c>
    </row>
    <row r="6" customFormat="false" ht="15" hidden="false" customHeight="false" outlineLevel="0" collapsed="false">
      <c r="A6" s="33" t="n">
        <f aca="false">Inputs!$B$11+1</f>
        <v>2027</v>
      </c>
      <c r="B6" s="34" t="n">
        <f aca="false">SUMIF(Inputs!$D$15:$D$30,A6,Inputs!$B$15:$B$30)</f>
        <v>1500</v>
      </c>
      <c r="C6" s="35" t="n">
        <f aca="false">SUMIF(Inputs!$D$15:$D$30,A6,Inputs!$C$15:$C$30)</f>
        <v>33000</v>
      </c>
      <c r="D6" s="36" t="n">
        <f aca="false">IF((Loan!$B$6-Loan!$B$7)=0,0,C6/(Loan!$B$6-Loan!$B$7))</f>
        <v>0.0310004697040864</v>
      </c>
      <c r="E6" s="36" t="n">
        <f aca="false">D6</f>
        <v>0.0310004697040864</v>
      </c>
    </row>
    <row r="7" customFormat="false" ht="15" hidden="false" customHeight="false" outlineLevel="0" collapsed="false">
      <c r="A7" s="33" t="n">
        <f aca="false">Inputs!$B$11+2</f>
        <v>2028</v>
      </c>
      <c r="B7" s="34" t="n">
        <f aca="false">SUMIF(Inputs!$D$15:$D$30,A7,Inputs!$B$15:$B$30)</f>
        <v>6000</v>
      </c>
      <c r="C7" s="35" t="n">
        <f aca="false">SUMIF(Inputs!$D$15:$D$30,A7,Inputs!$C$15:$C$30)</f>
        <v>115500</v>
      </c>
      <c r="D7" s="36" t="n">
        <f aca="false">IF((Loan!$B$6-Loan!$B$7)=0,0,C7/(Loan!$B$6-Loan!$B$7))</f>
        <v>0.108501643964303</v>
      </c>
      <c r="E7" s="36" t="n">
        <f aca="false">E6+D7</f>
        <v>0.139502113668389</v>
      </c>
    </row>
    <row r="8" customFormat="false" ht="15" hidden="false" customHeight="false" outlineLevel="0" collapsed="false">
      <c r="A8" s="33" t="n">
        <f aca="false">Inputs!$B$11+3</f>
        <v>2029</v>
      </c>
      <c r="B8" s="34" t="n">
        <f aca="false">SUMIF(Inputs!$D$15:$D$30,A8,Inputs!$B$15:$B$30)</f>
        <v>6000</v>
      </c>
      <c r="C8" s="35" t="n">
        <f aca="false">SUMIF(Inputs!$D$15:$D$30,A8,Inputs!$C$15:$C$30)</f>
        <v>96000</v>
      </c>
      <c r="D8" s="36" t="n">
        <f aca="false">IF((Loan!$B$6-Loan!$B$7)=0,0,C8/(Loan!$B$6-Loan!$B$7))</f>
        <v>0.090183184593706</v>
      </c>
      <c r="E8" s="36" t="n">
        <f aca="false">E7+D8</f>
        <v>0.229685298262095</v>
      </c>
    </row>
    <row r="9" customFormat="false" ht="15" hidden="false" customHeight="false" outlineLevel="0" collapsed="false">
      <c r="A9" s="33" t="n">
        <f aca="false">Inputs!$B$11+4</f>
        <v>2030</v>
      </c>
      <c r="B9" s="34" t="n">
        <f aca="false">SUMIF(Inputs!$D$15:$D$30,A9,Inputs!$B$15:$B$30)</f>
        <v>4000</v>
      </c>
      <c r="C9" s="35" t="n">
        <f aca="false">SUMIF(Inputs!$D$15:$D$30,A9,Inputs!$C$15:$C$30)</f>
        <v>96000</v>
      </c>
      <c r="D9" s="36" t="n">
        <f aca="false">IF((Loan!$B$6-Loan!$B$7)=0,0,C9/(Loan!$B$6-Loan!$B$7))</f>
        <v>0.090183184593706</v>
      </c>
      <c r="E9" s="36" t="n">
        <f aca="false">E8+D9</f>
        <v>0.319868482855801</v>
      </c>
    </row>
    <row r="10" customFormat="false" ht="15" hidden="false" customHeight="false" outlineLevel="0" collapsed="false">
      <c r="A10" s="33" t="n">
        <f aca="false">Inputs!$B$11+5</f>
        <v>2031</v>
      </c>
      <c r="B10" s="34" t="n">
        <f aca="false">SUMIF(Inputs!$D$15:$D$30,A10,Inputs!$B$15:$B$30)</f>
        <v>11000</v>
      </c>
      <c r="C10" s="35" t="n">
        <f aca="false">SUMIF(Inputs!$D$15:$D$30,A10,Inputs!$C$15:$C$30)</f>
        <v>198000</v>
      </c>
      <c r="D10" s="36" t="n">
        <f aca="false">IF((Loan!$B$6-Loan!$B$7)=0,0,C10/(Loan!$B$6-Loan!$B$7))</f>
        <v>0.186002818224519</v>
      </c>
      <c r="E10" s="36" t="n">
        <f aca="false">E9+D10</f>
        <v>0.505871301080319</v>
      </c>
    </row>
    <row r="11" customFormat="false" ht="15" hidden="false" customHeight="false" outlineLevel="0" collapsed="false">
      <c r="A11" s="33" t="n">
        <f aca="false">Inputs!$B$11+6</f>
        <v>2032</v>
      </c>
      <c r="B11" s="34" t="n">
        <f aca="false">SUMIF(Inputs!$D$15:$D$30,A11,Inputs!$B$15:$B$30)</f>
        <v>2500</v>
      </c>
      <c r="C11" s="35" t="n">
        <f aca="false">SUMIF(Inputs!$D$15:$D$30,A11,Inputs!$C$15:$C$30)</f>
        <v>60000</v>
      </c>
      <c r="D11" s="36" t="n">
        <f aca="false">IF((Loan!$B$6-Loan!$B$7)=0,0,C11/(Loan!$B$6-Loan!$B$7))</f>
        <v>0.0563644903710662</v>
      </c>
      <c r="E11" s="36" t="n">
        <f aca="false">E10+D11</f>
        <v>0.562235791451386</v>
      </c>
    </row>
    <row r="12" customFormat="false" ht="15" hidden="false" customHeight="false" outlineLevel="0" collapsed="false">
      <c r="A12" s="33" t="n">
        <f aca="false">Inputs!$B$11+7</f>
        <v>2033</v>
      </c>
      <c r="B12" s="34" t="n">
        <f aca="false">SUMIF(Inputs!$D$15:$D$30,A12,Inputs!$B$15:$B$30)</f>
        <v>2000</v>
      </c>
      <c r="C12" s="35" t="n">
        <f aca="false">SUMIF(Inputs!$D$15:$D$30,A12,Inputs!$C$15:$C$30)</f>
        <v>60000</v>
      </c>
      <c r="D12" s="36" t="n">
        <f aca="false">IF((Loan!$B$6-Loan!$B$7)=0,0,C12/(Loan!$B$6-Loan!$B$7))</f>
        <v>0.0563644903710662</v>
      </c>
      <c r="E12" s="36" t="n">
        <f aca="false">E11+D12</f>
        <v>0.618600281822452</v>
      </c>
    </row>
    <row r="13" customFormat="false" ht="15" hidden="false" customHeight="false" outlineLevel="0" collapsed="false">
      <c r="A13" s="33" t="n">
        <f aca="false">Inputs!$B$11+8</f>
        <v>2034</v>
      </c>
      <c r="B13" s="34" t="n">
        <f aca="false">SUMIF(Inputs!$D$15:$D$30,A13,Inputs!$B$15:$B$30)</f>
        <v>28000</v>
      </c>
      <c r="C13" s="35" t="n">
        <f aca="false">SUMIF(Inputs!$D$15:$D$30,A13,Inputs!$C$15:$C$30)</f>
        <v>406000</v>
      </c>
      <c r="D13" s="36" t="n">
        <f aca="false">IF((Loan!$B$6-Loan!$B$7)=0,0,C13/(Loan!$B$6-Loan!$B$7))</f>
        <v>0.381399718177548</v>
      </c>
      <c r="E13" s="36" t="n">
        <f aca="false">E12+D13</f>
        <v>1</v>
      </c>
    </row>
    <row r="14" customFormat="false" ht="15" hidden="false" customHeight="false" outlineLevel="0" collapsed="false">
      <c r="A14" s="33" t="n">
        <f aca="false">Inputs!$B$11+9</f>
        <v>2035</v>
      </c>
      <c r="B14" s="34" t="n">
        <f aca="false">SUMIF(Inputs!$D$15:$D$30,A14,Inputs!$B$15:$B$30)</f>
        <v>0</v>
      </c>
      <c r="C14" s="35" t="n">
        <f aca="false">SUMIF(Inputs!$D$15:$D$30,A14,Inputs!$C$15:$C$30)</f>
        <v>0</v>
      </c>
      <c r="D14" s="36" t="n">
        <f aca="false">IF((Loan!$B$6-Loan!$B$7)=0,0,C14/(Loan!$B$6-Loan!$B$7))</f>
        <v>0</v>
      </c>
      <c r="E14" s="36" t="n">
        <f aca="false">E13+D14</f>
        <v>1</v>
      </c>
    </row>
    <row r="15" customFormat="false" ht="15" hidden="false" customHeight="false" outlineLevel="0" collapsed="false">
      <c r="A15" s="33" t="n">
        <f aca="false">Inputs!$B$11+10</f>
        <v>2036</v>
      </c>
      <c r="B15" s="34" t="n">
        <f aca="false">SUMIF(Inputs!$D$15:$D$30,A15,Inputs!$B$15:$B$30)</f>
        <v>0</v>
      </c>
      <c r="C15" s="35" t="n">
        <f aca="false">SUMIF(Inputs!$D$15:$D$30,A15,Inputs!$C$15:$C$30)</f>
        <v>0</v>
      </c>
      <c r="D15" s="36" t="n">
        <f aca="false">IF((Loan!$B$6-Loan!$B$7)=0,0,C15/(Loan!$B$6-Loan!$B$7))</f>
        <v>0</v>
      </c>
      <c r="E15" s="36" t="n">
        <f aca="false">E14+D15</f>
        <v>1</v>
      </c>
    </row>
    <row r="16" customFormat="false" ht="15" hidden="false" customHeight="false" outlineLevel="0" collapsed="false">
      <c r="A16" s="33" t="n">
        <f aca="false">Inputs!$B$11+11</f>
        <v>2037</v>
      </c>
      <c r="B16" s="34" t="n">
        <f aca="false">SUMIF(Inputs!$D$15:$D$30,A16,Inputs!$B$15:$B$30)</f>
        <v>0</v>
      </c>
      <c r="C16" s="35" t="n">
        <f aca="false">SUMIF(Inputs!$D$15:$D$30,A16,Inputs!$C$15:$C$30)</f>
        <v>0</v>
      </c>
      <c r="D16" s="36" t="n">
        <f aca="false">IF((Loan!$B$6-Loan!$B$7)=0,0,C16/(Loan!$B$6-Loan!$B$7))</f>
        <v>0</v>
      </c>
      <c r="E16" s="36" t="n">
        <f aca="false">E15+D16</f>
        <v>1</v>
      </c>
    </row>
    <row r="17" customFormat="false" ht="15" hidden="false" customHeight="false" outlineLevel="0" collapsed="false">
      <c r="A17" s="33" t="n">
        <f aca="false">Inputs!$B$11+12</f>
        <v>2038</v>
      </c>
      <c r="B17" s="34" t="n">
        <f aca="false">SUMIF(Inputs!$D$15:$D$30,A17,Inputs!$B$15:$B$30)</f>
        <v>0</v>
      </c>
      <c r="C17" s="35" t="n">
        <f aca="false">SUMIF(Inputs!$D$15:$D$30,A17,Inputs!$C$15:$C$30)</f>
        <v>0</v>
      </c>
      <c r="D17" s="36" t="n">
        <f aca="false">IF((Loan!$B$6-Loan!$B$7)=0,0,C17/(Loan!$B$6-Loan!$B$7))</f>
        <v>0</v>
      </c>
      <c r="E17" s="36" t="n">
        <f aca="false">E16+D17</f>
        <v>1</v>
      </c>
    </row>
    <row r="19" customFormat="false" ht="15" hidden="false" customHeight="false" outlineLevel="0" collapsed="false">
      <c r="A19" s="4" t="s">
        <v>110</v>
      </c>
      <c r="B19" s="5"/>
      <c r="C19" s="5"/>
      <c r="D19" s="5"/>
    </row>
    <row r="20" customFormat="false" ht="15" hidden="false" customHeight="false" outlineLevel="0" collapsed="false">
      <c r="A20" s="6" t="s">
        <v>111</v>
      </c>
      <c r="B20" s="6"/>
      <c r="C20" s="6"/>
      <c r="D20" s="22" t="n">
        <f aca="false">SUMPRODUCT((Inputs!$D$15:$D$30&gt;Inputs!$B$11)*(Inputs!$D$15:$D$30&lt;=Inputs!$B$11+Inputs!$B$45)*(Inputs!$A$15:$A$30&lt;&gt;"Vacant"),Inputs!$C$15:$C$30)</f>
        <v>658500</v>
      </c>
    </row>
    <row r="21" customFormat="false" ht="15" hidden="false" customHeight="false" outlineLevel="0" collapsed="false">
      <c r="A21" s="6" t="s">
        <v>112</v>
      </c>
      <c r="B21" s="6"/>
      <c r="C21" s="6"/>
      <c r="D21" s="26" t="n">
        <f aca="false">IF((Loan!$B$6-Loan!$B$7)=0,0,D20/(Loan!$B$6-Loan!$B$7))</f>
        <v>0.618600281822452</v>
      </c>
    </row>
    <row r="22" customFormat="false" ht="15" hidden="false" customHeight="false" outlineLevel="0" collapsed="false">
      <c r="A22" s="6" t="s">
        <v>113</v>
      </c>
      <c r="B22" s="6"/>
      <c r="C22" s="6"/>
      <c r="D22" s="26" t="n">
        <f aca="false">IF((Loan!$B$6-Loan!$B$7)=0,0,SUMPRODUCT(MAX((Inputs!$A$15:$A$30&lt;&gt;"Vacant")*Inputs!$C$15:$C$30))/(Loan!$B$6-Loan!$B$7))</f>
        <v>0.381399718177548</v>
      </c>
    </row>
    <row r="23" customFormat="false" ht="15" hidden="false" customHeight="false" outlineLevel="0" collapsed="false">
      <c r="A23" s="6" t="s">
        <v>114</v>
      </c>
      <c r="B23" s="6"/>
      <c r="C23" s="6"/>
      <c r="D23" s="22" t="n">
        <f aca="false">SUMPRODUCT((Inputs!$D$15:$D$30&gt;Inputs!$B$11)*(Inputs!$D$15:$D$30&lt;=Inputs!$B$11+2)*(Inputs!$A$15:$A$30&lt;&gt;"Vacant"),Inputs!$C$15:$C$30)</f>
        <v>148500</v>
      </c>
    </row>
    <row r="24" customFormat="false" ht="15" hidden="false" customHeight="false" outlineLevel="0" collapsed="false">
      <c r="A24" s="6" t="s">
        <v>115</v>
      </c>
      <c r="B24" s="6"/>
      <c r="C24" s="6"/>
      <c r="D24" s="24" t="n">
        <f aca="false">IF(Inputs!$B$9=0,0,1-SUMIF(Inputs!$A$15:$A$30,"Vacant",Inputs!$B$15:$B$30)/Inputs!$B$9)</f>
        <v>0.953125</v>
      </c>
    </row>
    <row r="26" customFormat="false" ht="15" hidden="false" customHeight="false" outlineLevel="0" collapsed="false">
      <c r="A26" s="3" t="s">
        <v>116</v>
      </c>
    </row>
  </sheetData>
  <mergeCells count="5">
    <mergeCell ref="A20:C20"/>
    <mergeCell ref="A21:C21"/>
    <mergeCell ref="A22:C22"/>
    <mergeCell ref="A23:C23"/>
    <mergeCell ref="A24:C24"/>
  </mergeCells>
  <conditionalFormatting sqref="A6:E17">
    <cfRule type="expression" priority="2" aboveAverage="0" equalAverage="0" bottom="0" percent="0" rank="0" text="" dxfId="0">
      <formula>$A6&lt;=Inputs!$B$11+Inputs!$B$45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2026-11-01T18:01:11Z</dcterms:created>
  <dc:creator>openpyxl</dc:creator>
  <dc:description/>
  <dc:language>en-US</dc:language>
  <cp:lastModifiedBy/>
  <dcterms:modified xsi:type="dcterms:W3CDTF">2026-11-01T18:01:13Z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