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Summary" sheetId="2" state="visible" r:id="rId4"/>
    <sheet name="Compare" sheetId="3" state="visible" r:id="rId5"/>
    <sheet name="Schedul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<sst xmlns="http://schemas.openxmlformats.org/spreadsheetml/2006/main" count="105" uniqueCount="89">
  <si>
    <t xml:space="preserve">Interest-Only vs 30 Year Inputs</t>
  </si>
  <si>
    <t xml:space="preserve">Yellow cells are yours. Everything else calculates. The example building is fictional.</t>
  </si>
  <si>
    <t xml:space="preserve">Property</t>
  </si>
  <si>
    <t xml:space="preserve">Property name</t>
  </si>
  <si>
    <t xml:space="preserve">Fictional Riverbend Apartments</t>
  </si>
  <si>
    <t xml:space="preserve">City, State</t>
  </si>
  <si>
    <t xml:space="preserve">Knoxville, TN</t>
  </si>
  <si>
    <t xml:space="preserve">Units</t>
  </si>
  <si>
    <t xml:space="preserve">Estimated value</t>
  </si>
  <si>
    <t xml:space="preserve">Income and expenses (annual)</t>
  </si>
  <si>
    <t xml:space="preserve">Gross scheduled rent</t>
  </si>
  <si>
    <t xml:space="preserve">Every unit at lease rent for 12 months. Vacant units at market.</t>
  </si>
  <si>
    <t xml:space="preserve">Other income</t>
  </si>
  <si>
    <t xml:space="preserve">Laundry, parking, fees.</t>
  </si>
  <si>
    <t xml:space="preserve">Vacancy allowance</t>
  </si>
  <si>
    <t xml:space="preserve">5% even on a full building.</t>
  </si>
  <si>
    <t xml:space="preserve">Operating expenses</t>
  </si>
  <si>
    <t xml:space="preserve">Taxes, insurance, utilities, repairs, payroll, management.</t>
  </si>
  <si>
    <t xml:space="preserve">Reserves per unit</t>
  </si>
  <si>
    <t xml:space="preserve">The loan</t>
  </si>
  <si>
    <t xml:space="preserve">Interest rate</t>
  </si>
  <si>
    <t xml:space="preserve">The rate you want to test. This one is a placeholder.</t>
  </si>
  <si>
    <t xml:space="preserve">Amortization on the 30 year loan (years)</t>
  </si>
  <si>
    <t xml:space="preserve">Years you plan to hold</t>
  </si>
  <si>
    <t xml:space="preserve">The comparison runs to this year. 1 to 10.</t>
  </si>
  <si>
    <t xml:space="preserve">Minimum DSCR</t>
  </si>
  <si>
    <t xml:space="preserve">Maximum LTV</t>
  </si>
  <si>
    <t xml:space="preserve">Current loan payoff</t>
  </si>
  <si>
    <t xml:space="preserve">0 if the building is free and clear.</t>
  </si>
  <si>
    <t xml:space="preserve">Closing costs (% of loan)</t>
  </si>
  <si>
    <t xml:space="preserve">Built by Capituro. The rate is yours, not a quote. Send the numbers for real terms: capituro.com/contact</t>
  </si>
  <si>
    <t xml:space="preserve">Interest-Only vs 30 Year Calculator</t>
  </si>
  <si>
    <t xml:space="preserve">Change the Inputs sheet and this updates. The example building is fictional.</t>
  </si>
  <si>
    <t xml:space="preserve">The building</t>
  </si>
  <si>
    <t xml:space="preserve">The answer</t>
  </si>
  <si>
    <t xml:space="preserve">Interest-only</t>
  </si>
  <si>
    <t xml:space="preserve">30 year</t>
  </si>
  <si>
    <t xml:space="preserve">Location</t>
  </si>
  <si>
    <t xml:space="preserve">Loan</t>
  </si>
  <si>
    <t xml:space="preserve">Monthly payment</t>
  </si>
  <si>
    <t xml:space="preserve">Value</t>
  </si>
  <si>
    <t xml:space="preserve">DSCR</t>
  </si>
  <si>
    <t xml:space="preserve">Net operating income</t>
  </si>
  <si>
    <t xml:space="preserve">Cash out at closing</t>
  </si>
  <si>
    <t xml:space="preserve">Rate tested</t>
  </si>
  <si>
    <t xml:space="preserve">Cash flow per year</t>
  </si>
  <si>
    <t xml:space="preserve">Years held</t>
  </si>
  <si>
    <t xml:space="preserve">Balance at the end of the hold</t>
  </si>
  <si>
    <t xml:space="preserve">Cash in hand by then</t>
  </si>
  <si>
    <t xml:space="preserve">Interest-only adds at closing</t>
  </si>
  <si>
    <t xml:space="preserve">30 year builds in equity</t>
  </si>
  <si>
    <t xml:space="preserve">Chart data: balance by year</t>
  </si>
  <si>
    <t xml:space="preserve">Year</t>
  </si>
  <si>
    <t xml:space="preserve">Interest-Only vs 30 Year</t>
  </si>
  <si>
    <t xml:space="preserve">Same building, same rate, same coverage test. Two payments.</t>
  </si>
  <si>
    <t xml:space="preserve">Effective gross income</t>
  </si>
  <si>
    <t xml:space="preserve">Reserves</t>
  </si>
  <si>
    <t xml:space="preserve">Most the building can pay each year</t>
  </si>
  <si>
    <t xml:space="preserve">NOI divided by the minimum DSCR.</t>
  </si>
  <si>
    <t xml:space="preserve">Side by side</t>
  </si>
  <si>
    <t xml:space="preserve">Difference</t>
  </si>
  <si>
    <t xml:space="preserve">Loan the income supports</t>
  </si>
  <si>
    <t xml:space="preserve">Loan the value supports</t>
  </si>
  <si>
    <t xml:space="preserve">The lower of the two.</t>
  </si>
  <si>
    <t xml:space="preserve">What sets the loan</t>
  </si>
  <si>
    <t xml:space="preserve">Cash flow after the payment (per year)</t>
  </si>
  <si>
    <t xml:space="preserve">Loan less payoff less closing costs.</t>
  </si>
  <si>
    <t xml:space="preserve">Principal paid down over the hold</t>
  </si>
  <si>
    <t xml:space="preserve">Cash flow over the hold</t>
  </si>
  <si>
    <t xml:space="preserve">Holds NOI flat. Rent growth helps both.</t>
  </si>
  <si>
    <t xml:space="preserve">Cash in hand by the end of the hold</t>
  </si>
  <si>
    <t xml:space="preserve">Cash out plus cash flow.</t>
  </si>
  <si>
    <t xml:space="preserve">Cash in hand less what you still owe</t>
  </si>
  <si>
    <t xml:space="preserve">Doesn't count what the extra cash earns while you hold it.</t>
  </si>
  <si>
    <t xml:space="preserve">What the rate does</t>
  </si>
  <si>
    <t xml:space="preserve">Rate</t>
  </si>
  <si>
    <t xml:space="preserve">Interest-only loan</t>
  </si>
  <si>
    <t xml:space="preserve">30 year loan</t>
  </si>
  <si>
    <t xml:space="preserve">Interest-only adds</t>
  </si>
  <si>
    <t xml:space="preserve">Each loan is the lower of what the income and the value support at that rate.</t>
  </si>
  <si>
    <t xml:space="preserve">Balance by Year</t>
  </si>
  <si>
    <t xml:space="preserve">Both loans over ten years. The shaded row is the end of your hold.</t>
  </si>
  <si>
    <t xml:space="preserve">Interest-only: balance</t>
  </si>
  <si>
    <t xml:space="preserve">Interest-only: payments</t>
  </si>
  <si>
    <t xml:space="preserve">30 year: balance</t>
  </si>
  <si>
    <t xml:space="preserve">30 year: payments</t>
  </si>
  <si>
    <t xml:space="preserve">30 year: principal paid</t>
  </si>
  <si>
    <t xml:space="preserve">Gap in balance</t>
  </si>
  <si>
    <t xml:space="preserve">Payments are cumulative. Year 0 is the day the loan closes.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</si>
</sst>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\$#,##0;[RED]&quot;-$&quot;#,##0"/>
    <numFmt numFmtId="167" formatCode="0.00%"/>
    <numFmt numFmtId="168" formatCode="0.00\x"/>
    <numFmt numFmtId="169" formatCode="\$#,##0.00;[RED]&quot;-$&quot;#,##0.00"/>
    <numFmt numFmtId="170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Georgia"/>
      <family val="0"/>
      <charset val="1"/>
    </font>
    <font>
      <i val="true"/>
      <sz val="9"/>
      <color rgb="FF465470"/>
      <name val="Georgia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0A1428"/>
      <name val="Georgia"/>
      <family val="0"/>
      <charset val="1"/>
    </font>
    <font>
      <sz val="10"/>
      <color rgb="FF0A1428"/>
      <name val="Georgia"/>
      <family val="0"/>
      <charset val="1"/>
    </font>
    <font>
      <b val="true"/>
      <sz val="12"/>
      <color rgb="FF0A1428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428"/>
        <bgColor rgb="FF000000"/>
      </patternFill>
    </fill>
    <fill>
      <patternFill patternType="solid">
        <fgColor rgb="FF2B3A55"/>
        <bgColor rgb="FF333399"/>
      </patternFill>
    </fill>
    <fill>
      <patternFill patternType="solid">
        <fgColor rgb="FFF6F7F8"/>
        <bgColor rgb="FFFFFFFF"/>
      </patternFill>
    </fill>
    <fill>
      <patternFill patternType="solid">
        <fgColor rgb="FFFFF4DD"/>
        <bgColor rgb="FFEEF7DC"/>
      </patternFill>
    </fill>
    <fill>
      <patternFill patternType="solid">
        <fgColor rgb="FFFFFFFF"/>
        <bgColor rgb="FFF6F7F8"/>
      </patternFill>
    </fill>
    <fill>
      <patternFill patternType="solid">
        <fgColor rgb="FFEEF7DC"/>
        <bgColor rgb="FFFFF4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DDE2"/>
      </left>
      <right style="thin">
        <color rgb="FFDADDE2"/>
      </right>
      <top style="thin">
        <color rgb="FFDADDE2"/>
      </top>
      <bottom style="thin">
        <color rgb="FFDADD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Georgia"/>
        <charset val="1"/>
        <family val="0"/>
        <b val="1"/>
        <color rgb="FF0A1428"/>
      </font>
      <fill>
        <patternFill>
          <bgColor rgb="FFEEF7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ADDE2"/>
      <rgbColor rgb="FF878787"/>
      <rgbColor rgb="FF9999FF"/>
      <rgbColor rgb="FF993366"/>
      <rgbColor rgb="FFFFF4DD"/>
      <rgbColor rgb="FFF6F7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F7DC"/>
      <rgbColor rgb="FFFFFF99"/>
      <rgbColor rgb="FF99CCFF"/>
      <rgbColor rgb="FFFF99CC"/>
      <rgbColor rgb="FFCC99FF"/>
      <rgbColor rgb="FFFFCC99"/>
      <rgbColor rgb="FF3366FF"/>
      <rgbColor rgb="FF33CCCC"/>
      <rgbColor rgb="FF8CC63F"/>
      <rgbColor rgb="FFFFCC00"/>
      <rgbColor rgb="FFFF9900"/>
      <rgbColor rgb="FFFF6600"/>
      <rgbColor rgb="FF465470"/>
      <rgbColor rgb="FF969696"/>
      <rgbColor rgb="FF003366"/>
      <rgbColor rgb="FF339966"/>
      <rgbColor rgb="FF0A1428"/>
      <rgbColor rgb="FF333300"/>
      <rgbColor rgb="FF993300"/>
      <rgbColor rgb="FF993366"/>
      <rgbColor rgb="FF333399"/>
      <rgbColor rgb="FF2B3A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Loan balance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Summary!B19</c:f>
              <c:strCache>
                <c:ptCount val="1"/>
                <c:pt idx="0">
                  <c:v>Interest-only</c:v>
                </c:pt>
              </c:strCache>
            </c:strRef>
          </c:tx>
          <c:spPr>
            <a:solidFill>
              <a:srgbClr val="8cc63f"/>
            </a:solidFill>
            <a:ln w="28080">
              <a:solidFill>
                <a:srgbClr val="8cc6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Summary!$A$20:$A$30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Summary!$B$20:$B$30</c:f>
              <c:numCache>
                <c:formatCode>\$#,##0;[RED]"-$"#,##0</c:formatCode>
                <c:ptCount val="11"/>
                <c:pt idx="0">
                  <c:v>12375000</c:v>
                </c:pt>
                <c:pt idx="1">
                  <c:v>12375000</c:v>
                </c:pt>
                <c:pt idx="2">
                  <c:v>12375000</c:v>
                </c:pt>
                <c:pt idx="3">
                  <c:v>12375000</c:v>
                </c:pt>
                <c:pt idx="4">
                  <c:v>12375000</c:v>
                </c:pt>
                <c:pt idx="5">
                  <c:v>12375000</c:v>
                </c:pt>
                <c:pt idx="6">
                  <c:v>12375000</c:v>
                </c:pt>
                <c:pt idx="7">
                  <c:v>12375000</c:v>
                </c:pt>
                <c:pt idx="8">
                  <c:v>12375000</c:v>
                </c:pt>
                <c:pt idx="9">
                  <c:v>12375000</c:v>
                </c:pt>
                <c:pt idx="10">
                  <c:v>12375000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Summary!C19</c:f>
              <c:strCache>
                <c:ptCount val="1"/>
                <c:pt idx="0">
                  <c:v>30 year</c:v>
                </c:pt>
              </c:strCache>
            </c:strRef>
          </c:tx>
          <c:spPr>
            <a:solidFill>
              <a:srgbClr val="2b3a55"/>
            </a:solidFill>
            <a:ln w="28080">
              <a:solidFill>
                <a:srgbClr val="2b3a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Summary!$A$20:$A$30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Summary!$C$20:$C$30</c:f>
              <c:numCache>
                <c:formatCode>\$#,##0;[RED]"-$"#,##0</c:formatCode>
                <c:ptCount val="11"/>
                <c:pt idx="0">
                  <c:v>11190000</c:v>
                </c:pt>
                <c:pt idx="1">
                  <c:v>11076330.8801019</c:v>
                </c:pt>
                <c:pt idx="2">
                  <c:v>10954444.6103355</c:v>
                </c:pt>
                <c:pt idx="3">
                  <c:v>10823747.1722724</c:v>
                </c:pt>
                <c:pt idx="4">
                  <c:v>10683601.605844</c:v>
                </c:pt>
                <c:pt idx="5">
                  <c:v>10533324.9050869</c:v>
                </c:pt>
                <c:pt idx="6">
                  <c:v>10372184.6894813</c:v>
                </c:pt>
                <c:pt idx="7">
                  <c:v>10199395.6346603</c:v>
                </c:pt>
                <c:pt idx="8">
                  <c:v>10014115.6450952</c:v>
                </c:pt>
                <c:pt idx="9">
                  <c:v>9815441.75010344</c:v>
                </c:pt>
                <c:pt idx="10">
                  <c:v>9602405.70317869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3506577"/>
        <c:axId val="40468087"/>
      </c:lineChart>
      <c:catAx>
        <c:axId val="3350657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468087"/>
        <c:crosses val="autoZero"/>
        <c:auto val="1"/>
        <c:lblAlgn val="ctr"/>
        <c:lblOffset val="100"/>
        <c:noMultiLvlLbl val="0"/>
      </c:catAx>
      <c:valAx>
        <c:axId val="4046808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50657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17</xdr:row>
      <xdr:rowOff>0</xdr:rowOff>
    </xdr:from>
    <xdr:to>
      <xdr:col>5</xdr:col>
      <xdr:colOff>1311480</xdr:colOff>
      <xdr:row>31</xdr:row>
      <xdr:rowOff>32760</xdr:rowOff>
    </xdr:to>
    <xdr:graphicFrame>
      <xdr:nvGraphicFramePr>
        <xdr:cNvPr id="0" name="Chart 1"/>
        <xdr:cNvGraphicFramePr/>
      </xdr:nvGraphicFramePr>
      <xdr:xfrm>
        <a:off x="5074920" y="340056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30"/>
    <col collapsed="false" customWidth="true" hidden="false" outlineLevel="0" max="3" min="3" style="0" width="48"/>
  </cols>
  <sheetData>
    <row r="1" customFormat="false" ht="27.75" hidden="false" customHeight="true" outlineLevel="0" collapsed="false">
      <c r="A1" s="1" t="s">
        <v>0</v>
      </c>
      <c r="B1" s="2"/>
      <c r="C1" s="2"/>
    </row>
    <row r="3" customFormat="false" ht="15" hidden="false" customHeight="false" outlineLevel="0" collapsed="false">
      <c r="A3" s="3" t="s">
        <v>1</v>
      </c>
    </row>
    <row r="5" customFormat="false" ht="15" hidden="false" customHeight="false" outlineLevel="0" collapsed="false">
      <c r="A5" s="4" t="s">
        <v>2</v>
      </c>
      <c r="B5" s="5"/>
    </row>
    <row r="6" customFormat="false" ht="15" hidden="false" customHeight="false" outlineLevel="0" collapsed="false">
      <c r="A6" s="6" t="s">
        <v>3</v>
      </c>
      <c r="B6" s="7" t="s">
        <v>4</v>
      </c>
    </row>
    <row r="7" customFormat="false" ht="15" hidden="false" customHeight="false" outlineLevel="0" collapsed="false">
      <c r="A7" s="6" t="s">
        <v>5</v>
      </c>
      <c r="B7" s="7" t="s">
        <v>6</v>
      </c>
    </row>
    <row r="8" customFormat="false" ht="15" hidden="false" customHeight="false" outlineLevel="0" collapsed="false">
      <c r="A8" s="6" t="s">
        <v>7</v>
      </c>
      <c r="B8" s="8" t="n">
        <v>120</v>
      </c>
    </row>
    <row r="9" customFormat="false" ht="15" hidden="false" customHeight="false" outlineLevel="0" collapsed="false">
      <c r="A9" s="6" t="s">
        <v>8</v>
      </c>
      <c r="B9" s="9" t="n">
        <v>16500000</v>
      </c>
    </row>
    <row r="11" customFormat="false" ht="15" hidden="false" customHeight="false" outlineLevel="0" collapsed="false">
      <c r="A11" s="4" t="s">
        <v>9</v>
      </c>
      <c r="B11" s="5"/>
    </row>
    <row r="12" customFormat="false" ht="15" hidden="false" customHeight="false" outlineLevel="0" collapsed="false">
      <c r="A12" s="6" t="s">
        <v>10</v>
      </c>
      <c r="B12" s="9" t="n">
        <v>1944000</v>
      </c>
      <c r="C12" s="3" t="s">
        <v>11</v>
      </c>
    </row>
    <row r="13" customFormat="false" ht="15" hidden="false" customHeight="false" outlineLevel="0" collapsed="false">
      <c r="A13" s="6" t="s">
        <v>12</v>
      </c>
      <c r="B13" s="9" t="n">
        <v>60000</v>
      </c>
      <c r="C13" s="3" t="s">
        <v>13</v>
      </c>
    </row>
    <row r="14" customFormat="false" ht="15" hidden="false" customHeight="false" outlineLevel="0" collapsed="false">
      <c r="A14" s="6" t="s">
        <v>14</v>
      </c>
      <c r="B14" s="10" t="n">
        <v>0.05</v>
      </c>
      <c r="C14" s="3" t="s">
        <v>15</v>
      </c>
    </row>
    <row r="15" customFormat="false" ht="15" hidden="false" customHeight="false" outlineLevel="0" collapsed="false">
      <c r="A15" s="6" t="s">
        <v>16</v>
      </c>
      <c r="B15" s="9" t="n">
        <v>760000</v>
      </c>
      <c r="C15" s="3" t="s">
        <v>17</v>
      </c>
    </row>
    <row r="16" customFormat="false" ht="15" hidden="false" customHeight="false" outlineLevel="0" collapsed="false">
      <c r="A16" s="6" t="s">
        <v>18</v>
      </c>
      <c r="B16" s="9" t="n">
        <v>250</v>
      </c>
    </row>
    <row r="18" customFormat="false" ht="15" hidden="false" customHeight="false" outlineLevel="0" collapsed="false">
      <c r="A18" s="4" t="s">
        <v>19</v>
      </c>
      <c r="B18" s="5"/>
    </row>
    <row r="19" customFormat="false" ht="15" hidden="false" customHeight="false" outlineLevel="0" collapsed="false">
      <c r="A19" s="6" t="s">
        <v>20</v>
      </c>
      <c r="B19" s="10" t="n">
        <v>0.07</v>
      </c>
      <c r="C19" s="3" t="s">
        <v>21</v>
      </c>
    </row>
    <row r="20" customFormat="false" ht="15" hidden="false" customHeight="false" outlineLevel="0" collapsed="false">
      <c r="A20" s="6" t="s">
        <v>22</v>
      </c>
      <c r="B20" s="8" t="n">
        <v>30</v>
      </c>
    </row>
    <row r="21" customFormat="false" ht="15" hidden="false" customHeight="false" outlineLevel="0" collapsed="false">
      <c r="A21" s="6" t="s">
        <v>23</v>
      </c>
      <c r="B21" s="8" t="n">
        <v>5</v>
      </c>
      <c r="C21" s="3" t="s">
        <v>24</v>
      </c>
    </row>
    <row r="22" customFormat="false" ht="15" hidden="false" customHeight="false" outlineLevel="0" collapsed="false">
      <c r="A22" s="6" t="s">
        <v>25</v>
      </c>
      <c r="B22" s="11" t="n">
        <v>1.25</v>
      </c>
    </row>
    <row r="23" customFormat="false" ht="15" hidden="false" customHeight="false" outlineLevel="0" collapsed="false">
      <c r="A23" s="6" t="s">
        <v>26</v>
      </c>
      <c r="B23" s="10" t="n">
        <v>0.75</v>
      </c>
    </row>
    <row r="24" customFormat="false" ht="15" hidden="false" customHeight="false" outlineLevel="0" collapsed="false">
      <c r="A24" s="6" t="s">
        <v>27</v>
      </c>
      <c r="B24" s="9" t="n">
        <v>0</v>
      </c>
      <c r="C24" s="3" t="s">
        <v>28</v>
      </c>
    </row>
    <row r="25" customFormat="false" ht="15" hidden="false" customHeight="false" outlineLevel="0" collapsed="false">
      <c r="A25" s="6" t="s">
        <v>29</v>
      </c>
      <c r="B25" s="10" t="n">
        <v>0.02</v>
      </c>
    </row>
    <row r="27" customFormat="false" ht="15" hidden="false" customHeight="false" outlineLevel="0" collapsed="false">
      <c r="A27" s="3" t="s">
        <v>30</v>
      </c>
    </row>
  </sheetData>
  <dataValidations count="7">
    <dataValidation allowBlank="false" errorStyle="stop" operator="between" showDropDown="false" showErrorMessage="false" showInputMessage="false" sqref="B21" type="whole">
      <formula1>1</formula1>
      <formula2>10</formula2>
    </dataValidation>
    <dataValidation allowBlank="false" errorStyle="stop" operator="between" showDropDown="false" showErrorMessage="false" showInputMessage="false" sqref="B20" type="whole">
      <formula1>10</formula1>
      <formula2>40</formula2>
    </dataValidation>
    <dataValidation allowBlank="false" errorStyle="stop" operator="between" showDropDown="false" showErrorMessage="false" showInputMessage="false" sqref="B8" type="whole">
      <formula1>1</formula1>
      <formula2>2000</formula2>
    </dataValidation>
    <dataValidation allowBlank="false" errorStyle="stop" operator="between" showDropDown="false" showErrorMessage="false" showInputMessage="false" sqref="B14" type="decimal">
      <formula1>0</formula1>
      <formula2>0.5</formula2>
    </dataValidation>
    <dataValidation allowBlank="false" errorStyle="stop" operator="between" showDropDown="false" showErrorMessage="false" showInputMessage="false" sqref="B19" type="decimal">
      <formula1>0.001</formula1>
      <formula2>0.2</formula2>
    </dataValidation>
    <dataValidation allowBlank="false" errorStyle="stop" operator="between" showDropDown="false" showErrorMessage="false" showInputMessage="false" sqref="B23" type="decimal">
      <formula1>0.1</formula1>
      <formula2>0.9</formula2>
    </dataValidation>
    <dataValidation allowBlank="false" errorStyle="stop" operator="between" showDropDown="false" showErrorMessage="false" showInputMessage="false" sqref="B25" type="decimal">
      <formula1>0</formula1>
      <formula2>0.1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36"/>
    <col collapsed="false" customWidth="true" hidden="false" outlineLevel="0" max="6" min="5" style="0" width="22"/>
    <col collapsed="false" customWidth="true" hidden="false" outlineLevel="0" max="7" min="7" style="0" width="4"/>
    <col collapsed="false" customWidth="true" hidden="false" outlineLevel="0" max="8" min="8" style="0" width="10"/>
  </cols>
  <sheetData>
    <row r="1" customFormat="false" ht="27.75" hidden="false" customHeight="true" outlineLevel="0" collapsed="false">
      <c r="A1" s="1" t="s">
        <v>31</v>
      </c>
      <c r="B1" s="2"/>
      <c r="C1" s="2"/>
      <c r="D1" s="2"/>
      <c r="E1" s="2"/>
      <c r="F1" s="2"/>
      <c r="G1" s="2"/>
      <c r="H1" s="2"/>
    </row>
    <row r="3" customFormat="false" ht="15" hidden="false" customHeight="false" outlineLevel="0" collapsed="false">
      <c r="A3" s="3" t="s">
        <v>32</v>
      </c>
    </row>
    <row r="5" customFormat="false" ht="15" hidden="false" customHeight="false" outlineLevel="0" collapsed="false">
      <c r="A5" s="4" t="s">
        <v>33</v>
      </c>
      <c r="B5" s="5"/>
      <c r="D5" s="4" t="s">
        <v>34</v>
      </c>
      <c r="E5" s="5"/>
      <c r="F5" s="5"/>
    </row>
    <row r="6" customFormat="false" ht="15" hidden="false" customHeight="false" outlineLevel="0" collapsed="false">
      <c r="A6" s="6" t="s">
        <v>2</v>
      </c>
      <c r="B6" s="12" t="str">
        <f aca="false">Inputs!$B$6</f>
        <v>Fictional Riverbend Apartments</v>
      </c>
      <c r="D6" s="6"/>
      <c r="E6" s="13" t="s">
        <v>35</v>
      </c>
      <c r="F6" s="13" t="s">
        <v>36</v>
      </c>
    </row>
    <row r="7" customFormat="false" ht="15" hidden="false" customHeight="false" outlineLevel="0" collapsed="false">
      <c r="A7" s="6" t="s">
        <v>37</v>
      </c>
      <c r="B7" s="12" t="str">
        <f aca="false">Inputs!$B$7</f>
        <v>Knoxville, TN</v>
      </c>
      <c r="D7" s="6" t="s">
        <v>38</v>
      </c>
      <c r="E7" s="14" t="n">
        <f aca="false">Compare!B16</f>
        <v>12375000</v>
      </c>
      <c r="F7" s="14" t="n">
        <f aca="false">Compare!C16</f>
        <v>11190000</v>
      </c>
    </row>
    <row r="8" customFormat="false" ht="15" hidden="false" customHeight="false" outlineLevel="0" collapsed="false">
      <c r="A8" s="6" t="s">
        <v>7</v>
      </c>
      <c r="B8" s="15" t="n">
        <f aca="false">Inputs!$B$8</f>
        <v>120</v>
      </c>
      <c r="D8" s="6" t="s">
        <v>39</v>
      </c>
      <c r="E8" s="16" t="n">
        <f aca="false">Compare!B18</f>
        <v>72187.5</v>
      </c>
      <c r="F8" s="16" t="n">
        <f aca="false">Compare!C18</f>
        <v>74447.3492105506</v>
      </c>
    </row>
    <row r="9" customFormat="false" ht="15" hidden="false" customHeight="false" outlineLevel="0" collapsed="false">
      <c r="A9" s="6" t="s">
        <v>40</v>
      </c>
      <c r="B9" s="17" t="n">
        <f aca="false">Inputs!$B$9</f>
        <v>16500000</v>
      </c>
      <c r="D9" s="6" t="s">
        <v>41</v>
      </c>
      <c r="E9" s="18" t="n">
        <f aca="false">Compare!B19</f>
        <v>1.28923520923521</v>
      </c>
      <c r="F9" s="18" t="n">
        <f aca="false">Compare!C19</f>
        <v>1.2501004757531</v>
      </c>
    </row>
    <row r="10" customFormat="false" ht="15" hidden="false" customHeight="false" outlineLevel="0" collapsed="false">
      <c r="A10" s="6" t="s">
        <v>42</v>
      </c>
      <c r="B10" s="17" t="n">
        <f aca="false">Compare!$B$9</f>
        <v>1116800</v>
      </c>
      <c r="D10" s="6" t="s">
        <v>43</v>
      </c>
      <c r="E10" s="14" t="n">
        <f aca="false">Compare!B21</f>
        <v>12127500</v>
      </c>
      <c r="F10" s="14" t="n">
        <f aca="false">Compare!C21</f>
        <v>10966200</v>
      </c>
    </row>
    <row r="11" customFormat="false" ht="15" hidden="false" customHeight="false" outlineLevel="0" collapsed="false">
      <c r="A11" s="6" t="s">
        <v>44</v>
      </c>
      <c r="B11" s="19" t="n">
        <f aca="false">Inputs!$B$19</f>
        <v>0.07</v>
      </c>
      <c r="D11" s="6" t="s">
        <v>45</v>
      </c>
      <c r="E11" s="17" t="n">
        <f aca="false">Compare!B20</f>
        <v>250550</v>
      </c>
      <c r="F11" s="17" t="n">
        <f aca="false">Compare!C20</f>
        <v>223431.809473393</v>
      </c>
    </row>
    <row r="12" customFormat="false" ht="15" hidden="false" customHeight="false" outlineLevel="0" collapsed="false">
      <c r="A12" s="6" t="s">
        <v>46</v>
      </c>
      <c r="B12" s="15" t="n">
        <f aca="false">Inputs!$B$21</f>
        <v>5</v>
      </c>
      <c r="D12" s="6" t="s">
        <v>47</v>
      </c>
      <c r="E12" s="17" t="n">
        <f aca="false">Compare!B22</f>
        <v>12375000</v>
      </c>
      <c r="F12" s="17" t="n">
        <f aca="false">Compare!C22</f>
        <v>10533324.9050869</v>
      </c>
    </row>
    <row r="13" customFormat="false" ht="15" hidden="false" customHeight="false" outlineLevel="0" collapsed="false">
      <c r="D13" s="6" t="s">
        <v>48</v>
      </c>
      <c r="E13" s="14" t="n">
        <f aca="false">Compare!B25</f>
        <v>13380250</v>
      </c>
      <c r="F13" s="14" t="n">
        <f aca="false">Compare!C25</f>
        <v>12083359.047367</v>
      </c>
    </row>
    <row r="15" customFormat="false" ht="15" hidden="false" customHeight="false" outlineLevel="0" collapsed="false">
      <c r="D15" s="6" t="s">
        <v>49</v>
      </c>
      <c r="E15" s="14" t="n">
        <f aca="false">Compare!D21</f>
        <v>1161300</v>
      </c>
    </row>
    <row r="16" customFormat="false" ht="15" hidden="false" customHeight="false" outlineLevel="0" collapsed="false">
      <c r="D16" s="6" t="s">
        <v>50</v>
      </c>
      <c r="E16" s="14" t="n">
        <f aca="false">Compare!C23</f>
        <v>656675.094913092</v>
      </c>
    </row>
    <row r="18" customFormat="false" ht="15" hidden="false" customHeight="false" outlineLevel="0" collapsed="false">
      <c r="A18" s="4" t="s">
        <v>51</v>
      </c>
      <c r="B18" s="5"/>
    </row>
    <row r="19" customFormat="false" ht="15" hidden="false" customHeight="false" outlineLevel="0" collapsed="false">
      <c r="A19" s="20" t="s">
        <v>52</v>
      </c>
      <c r="B19" s="20" t="s">
        <v>35</v>
      </c>
      <c r="C19" s="20" t="s">
        <v>36</v>
      </c>
    </row>
    <row r="20" customFormat="false" ht="15" hidden="false" customHeight="false" outlineLevel="0" collapsed="false">
      <c r="A20" s="21" t="n">
        <v>0</v>
      </c>
      <c r="B20" s="22" t="n">
        <f aca="false">Schedule!B6</f>
        <v>12375000</v>
      </c>
      <c r="C20" s="22" t="n">
        <f aca="false">Schedule!D6</f>
        <v>11190000</v>
      </c>
    </row>
    <row r="21" customFormat="false" ht="15" hidden="false" customHeight="false" outlineLevel="0" collapsed="false">
      <c r="A21" s="21" t="n">
        <v>1</v>
      </c>
      <c r="B21" s="22" t="n">
        <f aca="false">Schedule!B7</f>
        <v>12375000</v>
      </c>
      <c r="C21" s="22" t="n">
        <f aca="false">Schedule!D7</f>
        <v>11076330.8801019</v>
      </c>
    </row>
    <row r="22" customFormat="false" ht="15" hidden="false" customHeight="false" outlineLevel="0" collapsed="false">
      <c r="A22" s="21" t="n">
        <v>2</v>
      </c>
      <c r="B22" s="22" t="n">
        <f aca="false">Schedule!B8</f>
        <v>12375000</v>
      </c>
      <c r="C22" s="22" t="n">
        <f aca="false">Schedule!D8</f>
        <v>10954444.6103355</v>
      </c>
    </row>
    <row r="23" customFormat="false" ht="15" hidden="false" customHeight="false" outlineLevel="0" collapsed="false">
      <c r="A23" s="21" t="n">
        <v>3</v>
      </c>
      <c r="B23" s="22" t="n">
        <f aca="false">Schedule!B9</f>
        <v>12375000</v>
      </c>
      <c r="C23" s="22" t="n">
        <f aca="false">Schedule!D9</f>
        <v>10823747.1722724</v>
      </c>
    </row>
    <row r="24" customFormat="false" ht="15" hidden="false" customHeight="false" outlineLevel="0" collapsed="false">
      <c r="A24" s="21" t="n">
        <v>4</v>
      </c>
      <c r="B24" s="22" t="n">
        <f aca="false">Schedule!B10</f>
        <v>12375000</v>
      </c>
      <c r="C24" s="22" t="n">
        <f aca="false">Schedule!D10</f>
        <v>10683601.605844</v>
      </c>
    </row>
    <row r="25" customFormat="false" ht="15" hidden="false" customHeight="false" outlineLevel="0" collapsed="false">
      <c r="A25" s="21" t="n">
        <v>5</v>
      </c>
      <c r="B25" s="22" t="n">
        <f aca="false">Schedule!B11</f>
        <v>12375000</v>
      </c>
      <c r="C25" s="22" t="n">
        <f aca="false">Schedule!D11</f>
        <v>10533324.9050869</v>
      </c>
    </row>
    <row r="26" customFormat="false" ht="15" hidden="false" customHeight="false" outlineLevel="0" collapsed="false">
      <c r="A26" s="21" t="n">
        <v>6</v>
      </c>
      <c r="B26" s="22" t="n">
        <f aca="false">Schedule!B12</f>
        <v>12375000</v>
      </c>
      <c r="C26" s="22" t="n">
        <f aca="false">Schedule!D12</f>
        <v>10372184.6894813</v>
      </c>
    </row>
    <row r="27" customFormat="false" ht="15" hidden="false" customHeight="false" outlineLevel="0" collapsed="false">
      <c r="A27" s="21" t="n">
        <v>7</v>
      </c>
      <c r="B27" s="22" t="n">
        <f aca="false">Schedule!B13</f>
        <v>12375000</v>
      </c>
      <c r="C27" s="22" t="n">
        <f aca="false">Schedule!D13</f>
        <v>10199395.6346603</v>
      </c>
    </row>
    <row r="28" customFormat="false" ht="15" hidden="false" customHeight="false" outlineLevel="0" collapsed="false">
      <c r="A28" s="21" t="n">
        <v>8</v>
      </c>
      <c r="B28" s="22" t="n">
        <f aca="false">Schedule!B14</f>
        <v>12375000</v>
      </c>
      <c r="C28" s="22" t="n">
        <f aca="false">Schedule!D14</f>
        <v>10014115.6450952</v>
      </c>
    </row>
    <row r="29" customFormat="false" ht="15" hidden="false" customHeight="false" outlineLevel="0" collapsed="false">
      <c r="A29" s="21" t="n">
        <v>9</v>
      </c>
      <c r="B29" s="22" t="n">
        <f aca="false">Schedule!B15</f>
        <v>12375000</v>
      </c>
      <c r="C29" s="22" t="n">
        <f aca="false">Schedule!D15</f>
        <v>9815441.75010344</v>
      </c>
    </row>
    <row r="30" customFormat="false" ht="15" hidden="false" customHeight="false" outlineLevel="0" collapsed="false">
      <c r="A30" s="21" t="n">
        <v>10</v>
      </c>
      <c r="B30" s="22" t="n">
        <f aca="false">Schedule!B16</f>
        <v>12375000</v>
      </c>
      <c r="C30" s="22" t="n">
        <f aca="false">Schedule!D16</f>
        <v>9602405.70317869</v>
      </c>
    </row>
    <row r="32" customFormat="false" ht="15" hidden="false" customHeight="false" outlineLevel="0" collapsed="false">
      <c r="A32" s="3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20"/>
    <col collapsed="false" customWidth="true" hidden="false" outlineLevel="0" max="5" min="5" style="0" width="46"/>
  </cols>
  <sheetData>
    <row r="1" customFormat="false" ht="27.75" hidden="false" customHeight="true" outlineLevel="0" collapsed="false">
      <c r="A1" s="1" t="s">
        <v>53</v>
      </c>
      <c r="B1" s="2"/>
      <c r="C1" s="2"/>
      <c r="D1" s="2"/>
      <c r="E1" s="2"/>
    </row>
    <row r="3" customFormat="false" ht="15" hidden="false" customHeight="false" outlineLevel="0" collapsed="false">
      <c r="A3" s="3" t="s">
        <v>54</v>
      </c>
    </row>
    <row r="5" customFormat="false" ht="15" hidden="false" customHeight="false" outlineLevel="0" collapsed="false">
      <c r="A5" s="4" t="s">
        <v>42</v>
      </c>
      <c r="B5" s="5"/>
    </row>
    <row r="6" customFormat="false" ht="15" hidden="false" customHeight="false" outlineLevel="0" collapsed="false">
      <c r="A6" s="6" t="s">
        <v>55</v>
      </c>
      <c r="B6" s="17" t="n">
        <f aca="false">Inputs!$B$12*(1-Inputs!$B$14)+Inputs!$B$13</f>
        <v>1906800</v>
      </c>
    </row>
    <row r="7" customFormat="false" ht="15" hidden="false" customHeight="false" outlineLevel="0" collapsed="false">
      <c r="A7" s="6" t="s">
        <v>16</v>
      </c>
      <c r="B7" s="17" t="n">
        <f aca="false">Inputs!$B$15</f>
        <v>760000</v>
      </c>
    </row>
    <row r="8" customFormat="false" ht="15" hidden="false" customHeight="false" outlineLevel="0" collapsed="false">
      <c r="A8" s="6" t="s">
        <v>56</v>
      </c>
      <c r="B8" s="17" t="n">
        <f aca="false">Inputs!$B$16*Inputs!$B$8</f>
        <v>30000</v>
      </c>
    </row>
    <row r="9" customFormat="false" ht="15" hidden="false" customHeight="false" outlineLevel="0" collapsed="false">
      <c r="A9" s="6" t="s">
        <v>42</v>
      </c>
      <c r="B9" s="14" t="n">
        <f aca="false">B6-B7-B8</f>
        <v>1116800</v>
      </c>
    </row>
    <row r="10" customFormat="false" ht="15" hidden="false" customHeight="false" outlineLevel="0" collapsed="false">
      <c r="A10" s="6" t="s">
        <v>57</v>
      </c>
      <c r="B10" s="17" t="n">
        <f aca="false">B9/Inputs!$B$22</f>
        <v>893440</v>
      </c>
      <c r="E10" s="3" t="s">
        <v>58</v>
      </c>
    </row>
    <row r="12" customFormat="false" ht="15" hidden="false" customHeight="false" outlineLevel="0" collapsed="false">
      <c r="A12" s="4" t="s">
        <v>59</v>
      </c>
      <c r="B12" s="5"/>
      <c r="C12" s="5"/>
      <c r="D12" s="5"/>
    </row>
    <row r="13" customFormat="false" ht="15" hidden="false" customHeight="false" outlineLevel="0" collapsed="false">
      <c r="B13" s="13" t="s">
        <v>35</v>
      </c>
      <c r="C13" s="13" t="s">
        <v>36</v>
      </c>
      <c r="D13" s="13" t="s">
        <v>60</v>
      </c>
    </row>
    <row r="14" customFormat="false" ht="15" hidden="false" customHeight="false" outlineLevel="0" collapsed="false">
      <c r="A14" s="6" t="s">
        <v>61</v>
      </c>
      <c r="B14" s="17" t="n">
        <f aca="false">IF(Inputs!$B$19&lt;=0,0,ROUNDDOWN($B$10/Inputs!$B$19,-3))</f>
        <v>12763000</v>
      </c>
      <c r="C14" s="17" t="n">
        <f aca="false">ROUNDDOWN(PV(Inputs!$B$19/12,Inputs!$B$20*12,-$B$10/12),-3)</f>
        <v>11190000</v>
      </c>
      <c r="D14" s="17" t="n">
        <f aca="false">B14-C14</f>
        <v>1573000</v>
      </c>
    </row>
    <row r="15" customFormat="false" ht="15" hidden="false" customHeight="false" outlineLevel="0" collapsed="false">
      <c r="A15" s="6" t="s">
        <v>62</v>
      </c>
      <c r="B15" s="17" t="n">
        <f aca="false">ROUNDDOWN(Inputs!$B$9*Inputs!$B$23,-3)</f>
        <v>12375000</v>
      </c>
      <c r="C15" s="17" t="n">
        <f aca="false">ROUNDDOWN(Inputs!$B$9*Inputs!$B$23,-3)</f>
        <v>12375000</v>
      </c>
      <c r="D15" s="17" t="n">
        <f aca="false">B15-C15</f>
        <v>0</v>
      </c>
    </row>
    <row r="16" customFormat="false" ht="15" hidden="false" customHeight="false" outlineLevel="0" collapsed="false">
      <c r="A16" s="6" t="s">
        <v>38</v>
      </c>
      <c r="B16" s="14" t="n">
        <f aca="false">MIN(B14,B15)</f>
        <v>12375000</v>
      </c>
      <c r="C16" s="14" t="n">
        <f aca="false">MIN(C14,C15)</f>
        <v>11190000</v>
      </c>
      <c r="D16" s="14" t="n">
        <f aca="false">B16-C16</f>
        <v>1185000</v>
      </c>
      <c r="E16" s="3" t="s">
        <v>63</v>
      </c>
    </row>
    <row r="17" customFormat="false" ht="15" hidden="false" customHeight="false" outlineLevel="0" collapsed="false">
      <c r="A17" s="6" t="s">
        <v>64</v>
      </c>
      <c r="B17" s="23" t="str">
        <f aca="false">IF(B14&lt;B15,"Income","Value")</f>
        <v>Value</v>
      </c>
      <c r="C17" s="23" t="str">
        <f aca="false">IF(C14&lt;C15,"Income","Value")</f>
        <v>Income</v>
      </c>
      <c r="D17" s="12"/>
    </row>
    <row r="18" customFormat="false" ht="15" hidden="false" customHeight="false" outlineLevel="0" collapsed="false">
      <c r="A18" s="6" t="s">
        <v>39</v>
      </c>
      <c r="B18" s="16" t="n">
        <f aca="false">B16*Inputs!$B$19/12</f>
        <v>72187.5</v>
      </c>
      <c r="C18" s="16" t="n">
        <f aca="false">PMT(Inputs!$B$19/12,Inputs!$B$20*12,-C16)</f>
        <v>74447.3492105506</v>
      </c>
      <c r="D18" s="16" t="n">
        <f aca="false">B18-C18</f>
        <v>-2259.84921055059</v>
      </c>
    </row>
    <row r="19" customFormat="false" ht="15" hidden="false" customHeight="false" outlineLevel="0" collapsed="false">
      <c r="A19" s="6" t="s">
        <v>41</v>
      </c>
      <c r="B19" s="18" t="n">
        <f aca="false">IF(B18=0,0,$B$9/(B18*12))</f>
        <v>1.28923520923521</v>
      </c>
      <c r="C19" s="18" t="n">
        <f aca="false">IF(C18=0,0,$B$9/(C18*12))</f>
        <v>1.2501004757531</v>
      </c>
      <c r="D19" s="18" t="n">
        <f aca="false">B19-C19</f>
        <v>0.0391347334821064</v>
      </c>
    </row>
    <row r="20" customFormat="false" ht="15" hidden="false" customHeight="false" outlineLevel="0" collapsed="false">
      <c r="A20" s="6" t="s">
        <v>65</v>
      </c>
      <c r="B20" s="17" t="n">
        <f aca="false">$B$9-B18*12</f>
        <v>250550</v>
      </c>
      <c r="C20" s="17" t="n">
        <f aca="false">$B$9-C18*12</f>
        <v>223431.809473393</v>
      </c>
      <c r="D20" s="17" t="n">
        <f aca="false">B20-C20</f>
        <v>27118.190526607</v>
      </c>
    </row>
    <row r="21" customFormat="false" ht="15" hidden="false" customHeight="false" outlineLevel="0" collapsed="false">
      <c r="A21" s="6" t="s">
        <v>43</v>
      </c>
      <c r="B21" s="14" t="n">
        <f aca="false">B16-Inputs!$B$24-B16*Inputs!$B$25</f>
        <v>12127500</v>
      </c>
      <c r="C21" s="14" t="n">
        <f aca="false">C16-Inputs!$B$24-C16*Inputs!$B$25</f>
        <v>10966200</v>
      </c>
      <c r="D21" s="14" t="n">
        <f aca="false">B21-C21</f>
        <v>1161300</v>
      </c>
      <c r="E21" s="3" t="s">
        <v>66</v>
      </c>
    </row>
    <row r="22" customFormat="false" ht="15" hidden="false" customHeight="false" outlineLevel="0" collapsed="false">
      <c r="A22" s="6" t="s">
        <v>47</v>
      </c>
      <c r="B22" s="17" t="n">
        <f aca="false">B16</f>
        <v>12375000</v>
      </c>
      <c r="C22" s="17" t="n">
        <f aca="false">-FV(Inputs!$B$19/12,Inputs!$B$21*12,-C18,C16)</f>
        <v>10533324.9050869</v>
      </c>
      <c r="D22" s="17" t="n">
        <f aca="false">B22-C22</f>
        <v>1841675.09491309</v>
      </c>
    </row>
    <row r="23" customFormat="false" ht="15" hidden="false" customHeight="false" outlineLevel="0" collapsed="false">
      <c r="A23" s="6" t="s">
        <v>67</v>
      </c>
      <c r="B23" s="17" t="n">
        <f aca="false">B16-B22</f>
        <v>0</v>
      </c>
      <c r="C23" s="17" t="n">
        <f aca="false">C16-C22</f>
        <v>656675.094913092</v>
      </c>
      <c r="D23" s="17" t="n">
        <f aca="false">B23-C23</f>
        <v>-656675.094913092</v>
      </c>
    </row>
    <row r="24" customFormat="false" ht="15" hidden="false" customHeight="false" outlineLevel="0" collapsed="false">
      <c r="A24" s="6" t="s">
        <v>68</v>
      </c>
      <c r="B24" s="17" t="n">
        <f aca="false">B20*Inputs!$B$21</f>
        <v>1252750</v>
      </c>
      <c r="C24" s="17" t="n">
        <f aca="false">C20*Inputs!$B$21</f>
        <v>1117159.04736696</v>
      </c>
      <c r="D24" s="17" t="n">
        <f aca="false">B24-C24</f>
        <v>135590.952633035</v>
      </c>
      <c r="E24" s="3" t="s">
        <v>69</v>
      </c>
    </row>
    <row r="25" customFormat="false" ht="15" hidden="false" customHeight="false" outlineLevel="0" collapsed="false">
      <c r="A25" s="6" t="s">
        <v>70</v>
      </c>
      <c r="B25" s="14" t="n">
        <f aca="false">B21+B24</f>
        <v>13380250</v>
      </c>
      <c r="C25" s="14" t="n">
        <f aca="false">C21+C24</f>
        <v>12083359.047367</v>
      </c>
      <c r="D25" s="14" t="n">
        <f aca="false">B25-C25</f>
        <v>1296890.95263303</v>
      </c>
      <c r="E25" s="3" t="s">
        <v>71</v>
      </c>
    </row>
    <row r="26" customFormat="false" ht="15" hidden="false" customHeight="false" outlineLevel="0" collapsed="false">
      <c r="A26" s="6" t="s">
        <v>72</v>
      </c>
      <c r="B26" s="17" t="n">
        <f aca="false">B25-B22</f>
        <v>1005250</v>
      </c>
      <c r="C26" s="17" t="n">
        <f aca="false">C25-C22</f>
        <v>1550034.14228006</v>
      </c>
      <c r="D26" s="17" t="n">
        <f aca="false">B26-C26</f>
        <v>-544784.142280057</v>
      </c>
      <c r="E26" s="3" t="s">
        <v>73</v>
      </c>
    </row>
    <row r="28" customFormat="false" ht="15" hidden="false" customHeight="false" outlineLevel="0" collapsed="false">
      <c r="A28" s="4" t="s">
        <v>74</v>
      </c>
      <c r="B28" s="5"/>
      <c r="C28" s="5"/>
      <c r="D28" s="5"/>
    </row>
    <row r="29" customFormat="false" ht="15" hidden="false" customHeight="false" outlineLevel="0" collapsed="false">
      <c r="A29" s="6" t="s">
        <v>75</v>
      </c>
      <c r="B29" s="6" t="s">
        <v>76</v>
      </c>
      <c r="C29" s="6" t="s">
        <v>77</v>
      </c>
      <c r="D29" s="6" t="s">
        <v>78</v>
      </c>
    </row>
    <row r="30" customFormat="false" ht="15" hidden="false" customHeight="false" outlineLevel="0" collapsed="false">
      <c r="A30" s="19" t="n">
        <f aca="false">MAX(0.0025,Inputs!$B$19+(-0.01))</f>
        <v>0.06</v>
      </c>
      <c r="B30" s="17" t="n">
        <f aca="false">MIN($B$15,ROUNDDOWN($B$10/A30,-3))</f>
        <v>12375000</v>
      </c>
      <c r="C30" s="17" t="n">
        <f aca="false">MIN($C$15,ROUNDDOWN(PV(A30/12,Inputs!$B$20*12,-$B$10/12),-3))</f>
        <v>12375000</v>
      </c>
      <c r="D30" s="17" t="n">
        <f aca="false">B30-C30</f>
        <v>0</v>
      </c>
    </row>
    <row r="31" customFormat="false" ht="15" hidden="false" customHeight="false" outlineLevel="0" collapsed="false">
      <c r="A31" s="19" t="n">
        <f aca="false">MAX(0.0025,Inputs!$B$19+(-0.005))</f>
        <v>0.065</v>
      </c>
      <c r="B31" s="17" t="n">
        <f aca="false">MIN($B$15,ROUNDDOWN($B$10/A31,-3))</f>
        <v>12375000</v>
      </c>
      <c r="C31" s="17" t="n">
        <f aca="false">MIN($C$15,ROUNDDOWN(PV(A31/12,Inputs!$B$20*12,-$B$10/12),-3))</f>
        <v>11779000</v>
      </c>
      <c r="D31" s="17" t="n">
        <f aca="false">B31-C31</f>
        <v>596000</v>
      </c>
    </row>
    <row r="32" customFormat="false" ht="15" hidden="false" customHeight="false" outlineLevel="0" collapsed="false">
      <c r="A32" s="24" t="n">
        <f aca="false">MAX(0.0025,Inputs!$B$19+(0))</f>
        <v>0.07</v>
      </c>
      <c r="B32" s="14" t="n">
        <f aca="false">MIN($B$15,ROUNDDOWN($B$10/A32,-3))</f>
        <v>12375000</v>
      </c>
      <c r="C32" s="14" t="n">
        <f aca="false">MIN($C$15,ROUNDDOWN(PV(A32/12,Inputs!$B$20*12,-$B$10/12),-3))</f>
        <v>11190000</v>
      </c>
      <c r="D32" s="14" t="n">
        <f aca="false">B32-C32</f>
        <v>1185000</v>
      </c>
    </row>
    <row r="33" customFormat="false" ht="15" hidden="false" customHeight="false" outlineLevel="0" collapsed="false">
      <c r="A33" s="19" t="n">
        <f aca="false">MAX(0.0025,Inputs!$B$19+(0.005))</f>
        <v>0.075</v>
      </c>
      <c r="B33" s="17" t="n">
        <f aca="false">MIN($B$15,ROUNDDOWN($B$10/A33,-3))</f>
        <v>11912000</v>
      </c>
      <c r="C33" s="17" t="n">
        <f aca="false">MIN($C$15,ROUNDDOWN(PV(A33/12,Inputs!$B$20*12,-$B$10/12),-3))</f>
        <v>10648000</v>
      </c>
      <c r="D33" s="17" t="n">
        <f aca="false">B33-C33</f>
        <v>1264000</v>
      </c>
    </row>
    <row r="34" customFormat="false" ht="15" hidden="false" customHeight="false" outlineLevel="0" collapsed="false">
      <c r="A34" s="19" t="n">
        <f aca="false">MAX(0.0025,Inputs!$B$19+(0.01))</f>
        <v>0.08</v>
      </c>
      <c r="B34" s="17" t="n">
        <f aca="false">MIN($B$15,ROUNDDOWN($B$10/A34,-3))</f>
        <v>11168000</v>
      </c>
      <c r="C34" s="17" t="n">
        <f aca="false">MIN($C$15,ROUNDDOWN(PV(A34/12,Inputs!$B$20*12,-$B$10/12),-3))</f>
        <v>10146000</v>
      </c>
      <c r="D34" s="17" t="n">
        <f aca="false">B34-C34</f>
        <v>1022000</v>
      </c>
    </row>
    <row r="35" customFormat="false" ht="15" hidden="false" customHeight="false" outlineLevel="0" collapsed="false">
      <c r="A35" s="3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22"/>
    <col collapsed="false" customWidth="true" hidden="false" outlineLevel="0" max="5" min="4" style="0" width="20"/>
    <col collapsed="false" customWidth="true" hidden="false" outlineLevel="0" max="6" min="6" style="0" width="22"/>
    <col collapsed="false" customWidth="true" hidden="false" outlineLevel="0" max="7" min="7" style="0" width="18"/>
  </cols>
  <sheetData>
    <row r="1" customFormat="false" ht="27.75" hidden="false" customHeight="true" outlineLevel="0" collapsed="false">
      <c r="A1" s="1" t="s">
        <v>80</v>
      </c>
      <c r="B1" s="2"/>
      <c r="C1" s="2"/>
      <c r="D1" s="2"/>
      <c r="E1" s="2"/>
      <c r="F1" s="2"/>
      <c r="G1" s="2"/>
    </row>
    <row r="3" customFormat="false" ht="15" hidden="false" customHeight="false" outlineLevel="0" collapsed="false">
      <c r="A3" s="3" t="s">
        <v>81</v>
      </c>
    </row>
    <row r="5" customFormat="false" ht="30" hidden="false" customHeight="true" outlineLevel="0" collapsed="false">
      <c r="A5" s="25" t="s">
        <v>52</v>
      </c>
      <c r="B5" s="26" t="s">
        <v>82</v>
      </c>
      <c r="C5" s="26" t="s">
        <v>83</v>
      </c>
      <c r="D5" s="26" t="s">
        <v>84</v>
      </c>
      <c r="E5" s="26" t="s">
        <v>85</v>
      </c>
      <c r="F5" s="26" t="s">
        <v>86</v>
      </c>
      <c r="G5" s="26" t="s">
        <v>87</v>
      </c>
    </row>
    <row r="6" customFormat="false" ht="15" hidden="false" customHeight="false" outlineLevel="0" collapsed="false">
      <c r="A6" s="27" t="n">
        <v>0</v>
      </c>
      <c r="B6" s="28" t="n">
        <f aca="false">Compare!$B$16</f>
        <v>12375000</v>
      </c>
      <c r="C6" s="28" t="n">
        <f aca="false">Compare!$B$18*12*A6</f>
        <v>0</v>
      </c>
      <c r="D6" s="28" t="n">
        <f aca="false">-FV(Inputs!$B$19/12,A6*12,-Compare!$C$18,Compare!$C$16)</f>
        <v>11190000</v>
      </c>
      <c r="E6" s="28" t="n">
        <f aca="false">Compare!$C$18*12*A6</f>
        <v>0</v>
      </c>
      <c r="F6" s="28" t="n">
        <f aca="false">Compare!$C$16-D6</f>
        <v>0</v>
      </c>
      <c r="G6" s="28" t="n">
        <f aca="false">B6-D6</f>
        <v>1185000</v>
      </c>
    </row>
    <row r="7" customFormat="false" ht="15" hidden="false" customHeight="false" outlineLevel="0" collapsed="false">
      <c r="A7" s="29" t="n">
        <v>1</v>
      </c>
      <c r="B7" s="30" t="n">
        <f aca="false">Compare!$B$16</f>
        <v>12375000</v>
      </c>
      <c r="C7" s="30" t="n">
        <f aca="false">Compare!$B$18*12*A7</f>
        <v>866250</v>
      </c>
      <c r="D7" s="30" t="n">
        <f aca="false">-FV(Inputs!$B$19/12,A7*12,-Compare!$C$18,Compare!$C$16)</f>
        <v>11076330.8801019</v>
      </c>
      <c r="E7" s="30" t="n">
        <f aca="false">Compare!$C$18*12*A7</f>
        <v>893368.190526607</v>
      </c>
      <c r="F7" s="30" t="n">
        <f aca="false">Compare!$C$16-D7</f>
        <v>113669.119898114</v>
      </c>
      <c r="G7" s="30" t="n">
        <f aca="false">B7-D7</f>
        <v>1298669.11989811</v>
      </c>
    </row>
    <row r="8" customFormat="false" ht="15" hidden="false" customHeight="false" outlineLevel="0" collapsed="false">
      <c r="A8" s="27" t="n">
        <v>2</v>
      </c>
      <c r="B8" s="28" t="n">
        <f aca="false">Compare!$B$16</f>
        <v>12375000</v>
      </c>
      <c r="C8" s="28" t="n">
        <f aca="false">Compare!$B$18*12*A8</f>
        <v>1732500</v>
      </c>
      <c r="D8" s="28" t="n">
        <f aca="false">-FV(Inputs!$B$19/12,A8*12,-Compare!$C$18,Compare!$C$16)</f>
        <v>10954444.6103355</v>
      </c>
      <c r="E8" s="28" t="n">
        <f aca="false">Compare!$C$18*12*A8</f>
        <v>1786736.38105321</v>
      </c>
      <c r="F8" s="28" t="n">
        <f aca="false">Compare!$C$16-D8</f>
        <v>235555.389664521</v>
      </c>
      <c r="G8" s="28" t="n">
        <f aca="false">B8-D8</f>
        <v>1420555.38966452</v>
      </c>
    </row>
    <row r="9" customFormat="false" ht="15" hidden="false" customHeight="false" outlineLevel="0" collapsed="false">
      <c r="A9" s="29" t="n">
        <v>3</v>
      </c>
      <c r="B9" s="30" t="n">
        <f aca="false">Compare!$B$16</f>
        <v>12375000</v>
      </c>
      <c r="C9" s="30" t="n">
        <f aca="false">Compare!$B$18*12*A9</f>
        <v>2598750</v>
      </c>
      <c r="D9" s="30" t="n">
        <f aca="false">-FV(Inputs!$B$19/12,A9*12,-Compare!$C$18,Compare!$C$16)</f>
        <v>10823747.1722724</v>
      </c>
      <c r="E9" s="30" t="n">
        <f aca="false">Compare!$C$18*12*A9</f>
        <v>2680104.57157982</v>
      </c>
      <c r="F9" s="30" t="n">
        <f aca="false">Compare!$C$16-D9</f>
        <v>366252.827727605</v>
      </c>
      <c r="G9" s="30" t="n">
        <f aca="false">B9-D9</f>
        <v>1551252.8277276</v>
      </c>
    </row>
    <row r="10" customFormat="false" ht="15" hidden="false" customHeight="false" outlineLevel="0" collapsed="false">
      <c r="A10" s="27" t="n">
        <v>4</v>
      </c>
      <c r="B10" s="28" t="n">
        <f aca="false">Compare!$B$16</f>
        <v>12375000</v>
      </c>
      <c r="C10" s="28" t="n">
        <f aca="false">Compare!$B$18*12*A10</f>
        <v>3465000</v>
      </c>
      <c r="D10" s="28" t="n">
        <f aca="false">-FV(Inputs!$B$19/12,A10*12,-Compare!$C$18,Compare!$C$16)</f>
        <v>10683601.605844</v>
      </c>
      <c r="E10" s="28" t="n">
        <f aca="false">Compare!$C$18*12*A10</f>
        <v>3573472.76210643</v>
      </c>
      <c r="F10" s="28" t="n">
        <f aca="false">Compare!$C$16-D10</f>
        <v>506398.394155974</v>
      </c>
      <c r="G10" s="28" t="n">
        <f aca="false">B10-D10</f>
        <v>1691398.39415597</v>
      </c>
    </row>
    <row r="11" customFormat="false" ht="15" hidden="false" customHeight="false" outlineLevel="0" collapsed="false">
      <c r="A11" s="29" t="n">
        <v>5</v>
      </c>
      <c r="B11" s="30" t="n">
        <f aca="false">Compare!$B$16</f>
        <v>12375000</v>
      </c>
      <c r="C11" s="30" t="n">
        <f aca="false">Compare!$B$18*12*A11</f>
        <v>4331250</v>
      </c>
      <c r="D11" s="30" t="n">
        <f aca="false">-FV(Inputs!$B$19/12,A11*12,-Compare!$C$18,Compare!$C$16)</f>
        <v>10533324.9050869</v>
      </c>
      <c r="E11" s="30" t="n">
        <f aca="false">Compare!$C$18*12*A11</f>
        <v>4466840.95263304</v>
      </c>
      <c r="F11" s="30" t="n">
        <f aca="false">Compare!$C$16-D11</f>
        <v>656675.094913092</v>
      </c>
      <c r="G11" s="30" t="n">
        <f aca="false">B11-D11</f>
        <v>1841675.09491309</v>
      </c>
    </row>
    <row r="12" customFormat="false" ht="15" hidden="false" customHeight="false" outlineLevel="0" collapsed="false">
      <c r="A12" s="27" t="n">
        <v>6</v>
      </c>
      <c r="B12" s="28" t="n">
        <f aca="false">Compare!$B$16</f>
        <v>12375000</v>
      </c>
      <c r="C12" s="28" t="n">
        <f aca="false">Compare!$B$18*12*A12</f>
        <v>5197500</v>
      </c>
      <c r="D12" s="28" t="n">
        <f aca="false">-FV(Inputs!$B$19/12,A12*12,-Compare!$C$18,Compare!$C$16)</f>
        <v>10372184.6894813</v>
      </c>
      <c r="E12" s="28" t="n">
        <f aca="false">Compare!$C$18*12*A12</f>
        <v>5360209.14315964</v>
      </c>
      <c r="F12" s="28" t="n">
        <f aca="false">Compare!$C$16-D12</f>
        <v>817815.310518749</v>
      </c>
      <c r="G12" s="28" t="n">
        <f aca="false">B12-D12</f>
        <v>2002815.31051875</v>
      </c>
    </row>
    <row r="13" customFormat="false" ht="15" hidden="false" customHeight="false" outlineLevel="0" collapsed="false">
      <c r="A13" s="29" t="n">
        <v>7</v>
      </c>
      <c r="B13" s="30" t="n">
        <f aca="false">Compare!$B$16</f>
        <v>12375000</v>
      </c>
      <c r="C13" s="30" t="n">
        <f aca="false">Compare!$B$18*12*A13</f>
        <v>6063750</v>
      </c>
      <c r="D13" s="30" t="n">
        <f aca="false">-FV(Inputs!$B$19/12,A13*12,-Compare!$C$18,Compare!$C$16)</f>
        <v>10199395.6346603</v>
      </c>
      <c r="E13" s="30" t="n">
        <f aca="false">Compare!$C$18*12*A13</f>
        <v>6253577.33368625</v>
      </c>
      <c r="F13" s="30" t="n">
        <f aca="false">Compare!$C$16-D13</f>
        <v>990604.365339734</v>
      </c>
      <c r="G13" s="30" t="n">
        <f aca="false">B13-D13</f>
        <v>2175604.36533973</v>
      </c>
    </row>
    <row r="14" customFormat="false" ht="15" hidden="false" customHeight="false" outlineLevel="0" collapsed="false">
      <c r="A14" s="27" t="n">
        <v>8</v>
      </c>
      <c r="B14" s="28" t="n">
        <f aca="false">Compare!$B$16</f>
        <v>12375000</v>
      </c>
      <c r="C14" s="28" t="n">
        <f aca="false">Compare!$B$18*12*A14</f>
        <v>6930000</v>
      </c>
      <c r="D14" s="28" t="n">
        <f aca="false">-FV(Inputs!$B$19/12,A14*12,-Compare!$C$18,Compare!$C$16)</f>
        <v>10014115.6450952</v>
      </c>
      <c r="E14" s="28" t="n">
        <f aca="false">Compare!$C$18*12*A14</f>
        <v>7146945.52421286</v>
      </c>
      <c r="F14" s="28" t="n">
        <f aca="false">Compare!$C$16-D14</f>
        <v>1175884.3549048</v>
      </c>
      <c r="G14" s="28" t="n">
        <f aca="false">B14-D14</f>
        <v>2360884.3549048</v>
      </c>
    </row>
    <row r="15" customFormat="false" ht="15" hidden="false" customHeight="false" outlineLevel="0" collapsed="false">
      <c r="A15" s="29" t="n">
        <v>9</v>
      </c>
      <c r="B15" s="30" t="n">
        <f aca="false">Compare!$B$16</f>
        <v>12375000</v>
      </c>
      <c r="C15" s="30" t="n">
        <f aca="false">Compare!$B$18*12*A15</f>
        <v>7796250</v>
      </c>
      <c r="D15" s="30" t="n">
        <f aca="false">-FV(Inputs!$B$19/12,A15*12,-Compare!$C$18,Compare!$C$16)</f>
        <v>9815441.75010344</v>
      </c>
      <c r="E15" s="30" t="n">
        <f aca="false">Compare!$C$18*12*A15</f>
        <v>8040313.71473947</v>
      </c>
      <c r="F15" s="30" t="n">
        <f aca="false">Compare!$C$16-D15</f>
        <v>1374558.24989656</v>
      </c>
      <c r="G15" s="30" t="n">
        <f aca="false">B15-D15</f>
        <v>2559558.24989656</v>
      </c>
    </row>
    <row r="16" customFormat="false" ht="15" hidden="false" customHeight="false" outlineLevel="0" collapsed="false">
      <c r="A16" s="27" t="n">
        <v>10</v>
      </c>
      <c r="B16" s="28" t="n">
        <f aca="false">Compare!$B$16</f>
        <v>12375000</v>
      </c>
      <c r="C16" s="28" t="n">
        <f aca="false">Compare!$B$18*12*A16</f>
        <v>8662500</v>
      </c>
      <c r="D16" s="28" t="n">
        <f aca="false">-FV(Inputs!$B$19/12,A16*12,-Compare!$C$18,Compare!$C$16)</f>
        <v>9602405.70317869</v>
      </c>
      <c r="E16" s="28" t="n">
        <f aca="false">Compare!$C$18*12*A16</f>
        <v>8933681.90526607</v>
      </c>
      <c r="F16" s="28" t="n">
        <f aca="false">Compare!$C$16-D16</f>
        <v>1587594.29682131</v>
      </c>
      <c r="G16" s="28" t="n">
        <f aca="false">B16-D16</f>
        <v>2772594.29682131</v>
      </c>
    </row>
    <row r="18" customFormat="false" ht="15" hidden="false" customHeight="false" outlineLevel="0" collapsed="false">
      <c r="A18" s="3" t="s">
        <v>88</v>
      </c>
    </row>
  </sheetData>
  <conditionalFormatting sqref="A6:G16">
    <cfRule type="expression" priority="2" aboveAverage="0" equalAverage="0" bottom="0" percent="0" rank="0" text="" dxfId="0">
      <formula>$A6=Inputs!$B$21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2026-11-01T17:38:52Z</dcterms:created>
  <dc:creator>openpyxl</dc:creator>
  <dc:description/>
  <dc:language>en-US</dc:language>
  <cp:lastModifiedBy/>
  <dcterms:modified xsi:type="dcterms:W3CDTF">2026-11-01T17:38:53Z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