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puts" sheetId="1" state="visible" r:id="rId3"/>
    <sheet name="Rent Roll" sheetId="2" state="visible" r:id="rId4"/>
    <sheet name="Summary" sheetId="3" state="visible" r:id="rId5"/>
    <sheet name="Underwriting" sheetId="4" state="visible" r:id="rId6"/>
    <sheet name="Anchor Dark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<sst xmlns="http://schemas.openxmlformats.org/spreadsheetml/2006/main" count="231" uniqueCount="165">
  <si>
    <t xml:space="preserve">Retail Center Inputs</t>
  </si>
  <si>
    <t xml:space="preserve">Yellow cells are yours. Everything else calculates. Tenants go on the Rent Roll sheet. The example center is fictional.</t>
  </si>
  <si>
    <t xml:space="preserve">The center</t>
  </si>
  <si>
    <t xml:space="preserve">Center name</t>
  </si>
  <si>
    <t xml:space="preserve">Fictional Harper's Crossing</t>
  </si>
  <si>
    <t xml:space="preserve">City, State</t>
  </si>
  <si>
    <t xml:space="preserve">Chattanooga, TN</t>
  </si>
  <si>
    <t xml:space="preserve">Estimated value</t>
  </si>
  <si>
    <t xml:space="preserve">Year the loan closes</t>
  </si>
  <si>
    <t xml:space="preserve">Expense pools (annual)</t>
  </si>
  <si>
    <t xml:space="preserve">Real estate taxes</t>
  </si>
  <si>
    <t xml:space="preserve">Insurance</t>
  </si>
  <si>
    <t xml:space="preserve">Common area maintenance</t>
  </si>
  <si>
    <t xml:space="preserve">Parking lot, lighting, landscaping, snow, security.</t>
  </si>
  <si>
    <t xml:space="preserve">Admin fee on CAM</t>
  </si>
  <si>
    <t xml:space="preserve">What NNN leases let you add to the CAM bill.</t>
  </si>
  <si>
    <t xml:space="preserve">Expenses tenants don't pay back</t>
  </si>
  <si>
    <t xml:space="preserve">Roof and structure, legal, owner's accounting.</t>
  </si>
  <si>
    <t xml:space="preserve">Underwriting</t>
  </si>
  <si>
    <t xml:space="preserve">Vacancy allowance, anchors</t>
  </si>
  <si>
    <t xml:space="preserve">Anchor and junior anchor space.</t>
  </si>
  <si>
    <t xml:space="preserve">Vacancy allowance, shop space</t>
  </si>
  <si>
    <t xml:space="preserve">Inline and pad space. Actual vacancy is used if higher.</t>
  </si>
  <si>
    <t xml:space="preserve">Management (% of income)</t>
  </si>
  <si>
    <t xml:space="preserve">Replacement reserves per SF</t>
  </si>
  <si>
    <t xml:space="preserve">TI/LC per SF, anchors</t>
  </si>
  <si>
    <t xml:space="preserve">Tenant improvements and leasing commissions.</t>
  </si>
  <si>
    <t xml:space="preserve">TI/LC per SF, shop space</t>
  </si>
  <si>
    <t xml:space="preserve">The loan</t>
  </si>
  <si>
    <t xml:space="preserve">Interest rate</t>
  </si>
  <si>
    <t xml:space="preserve">The rate you want to test. This one is a placeholder.</t>
  </si>
  <si>
    <t xml:space="preserve">Amortization (years)</t>
  </si>
  <si>
    <t xml:space="preserve">Loan term (years)</t>
  </si>
  <si>
    <t xml:space="preserve">Minimum DSCR</t>
  </si>
  <si>
    <t xml:space="preserve">Maximum LTV</t>
  </si>
  <si>
    <t xml:space="preserve">Current loan payoff</t>
  </si>
  <si>
    <t xml:space="preserve">0 for a purchase or a free and clear center.</t>
  </si>
  <si>
    <t xml:space="preserve">Closing costs (% of loan)</t>
  </si>
  <si>
    <t xml:space="preserve">Anchor goes dark</t>
  </si>
  <si>
    <t xml:space="preserve">Tenant that goes dark</t>
  </si>
  <si>
    <t xml:space="preserve">Grocery</t>
  </si>
  <si>
    <t xml:space="preserve">Type the name exactly as it is on the Rent Roll.</t>
  </si>
  <si>
    <t xml:space="preserve">Rent cut for co-tenancy tenants</t>
  </si>
  <si>
    <t xml:space="preserve">How much tenants with a co-tenancy clause can reduce rent.</t>
  </si>
  <si>
    <t xml:space="preserve">Built by Capituro. The rate is yours, not a quote. Send the numbers for real terms: capituro.com/contact</t>
  </si>
  <si>
    <t xml:space="preserve">Rent Roll</t>
  </si>
  <si>
    <t xml:space="preserve">Yellow columns are yours. Name an empty suite "Vacant" and enter market rent. Sales are optional.</t>
  </si>
  <si>
    <t xml:space="preserve">Tenant</t>
  </si>
  <si>
    <t xml:space="preserve">Type</t>
  </si>
  <si>
    <t xml:space="preserve">Credit</t>
  </si>
  <si>
    <t xml:space="preserve">Square feet</t>
  </si>
  <si>
    <t xml:space="preserve">Rent per SF</t>
  </si>
  <si>
    <t xml:space="preserve">Lease type</t>
  </si>
  <si>
    <t xml:space="preserve">Lease ends (year)</t>
  </si>
  <si>
    <t xml:space="preserve">Co-tenancy clause</t>
  </si>
  <si>
    <t xml:space="preserve">Annual sales</t>
  </si>
  <si>
    <t xml:space="preserve">Annual base rent</t>
  </si>
  <si>
    <t xml:space="preserve">Share of center</t>
  </si>
  <si>
    <t xml:space="preserve">Recoveries</t>
  </si>
  <si>
    <t xml:space="preserve">Rent plus recoveries</t>
  </si>
  <si>
    <t xml:space="preserve">Occupancy cost</t>
  </si>
  <si>
    <t xml:space="preserve">Sales per SF</t>
  </si>
  <si>
    <t xml:space="preserve">Group</t>
  </si>
  <si>
    <t xml:space="preserve">Anchor</t>
  </si>
  <si>
    <t xml:space="preserve">National</t>
  </si>
  <si>
    <t xml:space="preserve">NNN</t>
  </si>
  <si>
    <t xml:space="preserve">No</t>
  </si>
  <si>
    <t xml:space="preserve">Discount apparel</t>
  </si>
  <si>
    <t xml:space="preserve">Junior anchor</t>
  </si>
  <si>
    <t xml:space="preserve">Bank branch</t>
  </si>
  <si>
    <t xml:space="preserve">Pad</t>
  </si>
  <si>
    <t xml:space="preserve">Mexican restaurant</t>
  </si>
  <si>
    <t xml:space="preserve">Inline</t>
  </si>
  <si>
    <t xml:space="preserve">Local</t>
  </si>
  <si>
    <t xml:space="preserve">Yes</t>
  </si>
  <si>
    <t xml:space="preserve">Mattress store</t>
  </si>
  <si>
    <t xml:space="preserve">Regional</t>
  </si>
  <si>
    <t xml:space="preserve">Modified gross</t>
  </si>
  <si>
    <t xml:space="preserve">Laundromat</t>
  </si>
  <si>
    <t xml:space="preserve">Dental office</t>
  </si>
  <si>
    <t xml:space="preserve">Pizza</t>
  </si>
  <si>
    <t xml:space="preserve">Phone store</t>
  </si>
  <si>
    <t xml:space="preserve">Insurance office</t>
  </si>
  <si>
    <t xml:space="preserve">Gross</t>
  </si>
  <si>
    <t xml:space="preserve">Nail salon</t>
  </si>
  <si>
    <t xml:space="preserve">Barber</t>
  </si>
  <si>
    <t xml:space="preserve">Vacant</t>
  </si>
  <si>
    <t xml:space="preserve">Total</t>
  </si>
  <si>
    <t xml:space="preserve">Lease types: NNN pays its share of taxes, insurance, and CAM plus the admin fee. Modified gross pays taxes and insurance. Gross pays none.</t>
  </si>
  <si>
    <t xml:space="preserve">Occupancy cost is rent plus recoveries divided by sales. Above about 12% to 15%, a tenant is paying more than most can sustain.</t>
  </si>
  <si>
    <t xml:space="preserve">Retail Center Underwriting Template</t>
  </si>
  <si>
    <t xml:space="preserve">Change the Inputs and Rent Roll sheets and this updates. The example center is fictional.</t>
  </si>
  <si>
    <t xml:space="preserve">Center</t>
  </si>
  <si>
    <t xml:space="preserve">Amortizing</t>
  </si>
  <si>
    <t xml:space="preserve">Interest-only</t>
  </si>
  <si>
    <t xml:space="preserve">Location</t>
  </si>
  <si>
    <t xml:space="preserve">Loan</t>
  </si>
  <si>
    <t xml:space="preserve">Monthly payment</t>
  </si>
  <si>
    <t xml:space="preserve">Value</t>
  </si>
  <si>
    <t xml:space="preserve">DSCR</t>
  </si>
  <si>
    <t xml:space="preserve">Leased</t>
  </si>
  <si>
    <t xml:space="preserve">Debt yield</t>
  </si>
  <si>
    <t xml:space="preserve">Net operating income</t>
  </si>
  <si>
    <t xml:space="preserve">Cash out at closing</t>
  </si>
  <si>
    <t xml:space="preserve">Anchors' share of base rent</t>
  </si>
  <si>
    <t xml:space="preserve">DSCR if the anchor goes dark</t>
  </si>
  <si>
    <t xml:space="preserve">National tenants' share</t>
  </si>
  <si>
    <t xml:space="preserve">Weighted average lease term</t>
  </si>
  <si>
    <t xml:space="preserve">Base rent ending inside the term</t>
  </si>
  <si>
    <t xml:space="preserve">Recovery ratio</t>
  </si>
  <si>
    <t xml:space="preserve">Taxes, insurance, CAM the owner carries</t>
  </si>
  <si>
    <t xml:space="preserve">Chart data: income against the payment</t>
  </si>
  <si>
    <t xml:space="preserve">NOI, anchor dark</t>
  </si>
  <si>
    <t xml:space="preserve">Amortizing payment</t>
  </si>
  <si>
    <t xml:space="preserve">Interest-only payment</t>
  </si>
  <si>
    <t xml:space="preserve">Net operating income the way underwriting builds it on a retail center, then the loan on two payments.</t>
  </si>
  <si>
    <t xml:space="preserve">Base rent, all suites</t>
  </si>
  <si>
    <t xml:space="preserve">Expense recoveries</t>
  </si>
  <si>
    <t xml:space="preserve">Potential gross income</t>
  </si>
  <si>
    <t xml:space="preserve">Vacancy, anchors</t>
  </si>
  <si>
    <t xml:space="preserve">The higher of actual vacancy and the allowance.</t>
  </si>
  <si>
    <t xml:space="preserve">Vacancy, shop space</t>
  </si>
  <si>
    <t xml:space="preserve">Effective gross income</t>
  </si>
  <si>
    <t xml:space="preserve">Management</t>
  </si>
  <si>
    <t xml:space="preserve">Replacement reserves</t>
  </si>
  <si>
    <t xml:space="preserve">TI/LC</t>
  </si>
  <si>
    <t xml:space="preserve">Cap rate on your value</t>
  </si>
  <si>
    <t xml:space="preserve">Most the center can pay each year</t>
  </si>
  <si>
    <t xml:space="preserve">NOI divided by the minimum DSCR.</t>
  </si>
  <si>
    <t xml:space="preserve">Side by side</t>
  </si>
  <si>
    <t xml:space="preserve">Difference</t>
  </si>
  <si>
    <t xml:space="preserve">Loan the income supports</t>
  </si>
  <si>
    <t xml:space="preserve">Loan the value supports</t>
  </si>
  <si>
    <t xml:space="preserve">The lower of the two.</t>
  </si>
  <si>
    <t xml:space="preserve">What sets the loan</t>
  </si>
  <si>
    <t xml:space="preserve">NOI divided by the loan.</t>
  </si>
  <si>
    <t xml:space="preserve">Cash flow after the payment (per year)</t>
  </si>
  <si>
    <t xml:space="preserve">Loan less payoff less closing costs. Negative means cash to close.</t>
  </si>
  <si>
    <t xml:space="preserve">The center at a glance</t>
  </si>
  <si>
    <t xml:space="preserve">Leased by square feet</t>
  </si>
  <si>
    <t xml:space="preserve">National tenants' share of base rent</t>
  </si>
  <si>
    <t xml:space="preserve">Weighted average lease term (years)</t>
  </si>
  <si>
    <t xml:space="preserve">Years left on each lease, weighted by rent.</t>
  </si>
  <si>
    <t xml:space="preserve">Base rent ending inside the loan term</t>
  </si>
  <si>
    <t xml:space="preserve">Recoveries divided by taxes, insurance, and CAM.</t>
  </si>
  <si>
    <t xml:space="preserve">Taxes, insurance, and CAM the owner carries</t>
  </si>
  <si>
    <t xml:space="preserve">Vacant suites and gross leases don't pay their share.</t>
  </si>
  <si>
    <t xml:space="preserve">Tenants over 15% occupancy cost</t>
  </si>
  <si>
    <t xml:space="preserve">Rent plus recoveries over 15% of sales.</t>
  </si>
  <si>
    <t xml:space="preserve">Anchor Goes Dark</t>
  </si>
  <si>
    <t xml:space="preserve">One tenant leaves. Tenants with a co-tenancy clause cut their rent. Does the center still cover the payment?</t>
  </si>
  <si>
    <t xml:space="preserve">What changes</t>
  </si>
  <si>
    <t xml:space="preserve">Its base rent</t>
  </si>
  <si>
    <t xml:space="preserve">Its recoveries</t>
  </si>
  <si>
    <t xml:space="preserve">The owner picks up its share of taxes, insurance, and CAM.</t>
  </si>
  <si>
    <t xml:space="preserve">Co-tenancy rent cuts</t>
  </si>
  <si>
    <t xml:space="preserve">Income lost after vacancy and management</t>
  </si>
  <si>
    <t xml:space="preserve">Net operating income, anchor dark</t>
  </si>
  <si>
    <t xml:space="preserve">The loan with the anchor dark</t>
  </si>
  <si>
    <t xml:space="preserve">Annual payment</t>
  </si>
  <si>
    <t xml:space="preserve">DSCR as underwritten</t>
  </si>
  <si>
    <t xml:space="preserve">DSCR, anchor dark</t>
  </si>
  <si>
    <t xml:space="preserve">Cash flow per year, anchor dark</t>
  </si>
  <si>
    <t xml:space="preserve">Negative is what the owner covers each year until the space re-leases.</t>
  </si>
  <si>
    <t xml:space="preserve">This is a stress test, not how the loan is underwritten. It shows how much room the center has if its biggest tenant leaves.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</si>
</sst>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\$#,##0;[RED]&quot;-$&quot;#,##0"/>
    <numFmt numFmtId="166" formatCode="0"/>
    <numFmt numFmtId="167" formatCode="0.00%"/>
    <numFmt numFmtId="168" formatCode="\$#,##0.00;[RED]&quot;-$&quot;#,##0.00"/>
    <numFmt numFmtId="169" formatCode="0.00\x"/>
    <numFmt numFmtId="170" formatCode="#,##0"/>
    <numFmt numFmtId="171" formatCode="\$#,##0;[RED]&quot;-$&quot;#,##0;&quot;&quot;"/>
    <numFmt numFmtId="172" formatCode="0.0%;\-0.0%;&quot;&quot;"/>
    <numFmt numFmtId="173" formatCode="0.0%"/>
    <numFmt numFmtId="174" formatCode="0.0&quot; years&quot;"/>
    <numFmt numFmtId="175" formatCode="\$#,##0"/>
    <numFmt numFmtId="176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Georgia"/>
      <family val="0"/>
      <charset val="1"/>
    </font>
    <font>
      <i val="true"/>
      <sz val="9"/>
      <color rgb="FF465470"/>
      <name val="Georgia"/>
      <family val="0"/>
      <charset val="1"/>
    </font>
    <font>
      <b val="true"/>
      <sz val="10"/>
      <color rgb="FFFFFFFF"/>
      <name val="Georgia"/>
      <family val="0"/>
      <charset val="1"/>
    </font>
    <font>
      <b val="true"/>
      <sz val="10"/>
      <color rgb="FF0A1428"/>
      <name val="Georgia"/>
      <family val="0"/>
      <charset val="1"/>
    </font>
    <font>
      <sz val="10"/>
      <color rgb="FF0A1428"/>
      <name val="Georgia"/>
      <family val="0"/>
      <charset val="1"/>
    </font>
    <font>
      <b val="true"/>
      <sz val="12"/>
      <color rgb="FF0A1428"/>
      <name val="Georg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A1428"/>
        <bgColor rgb="FF000000"/>
      </patternFill>
    </fill>
    <fill>
      <patternFill patternType="solid">
        <fgColor rgb="FF2B3A55"/>
        <bgColor rgb="FF333399"/>
      </patternFill>
    </fill>
    <fill>
      <patternFill patternType="solid">
        <fgColor rgb="FFF6F7F8"/>
        <bgColor rgb="FFFFFFFF"/>
      </patternFill>
    </fill>
    <fill>
      <patternFill patternType="solid">
        <fgColor rgb="FFFFF4DD"/>
        <bgColor rgb="FFEEF7DC"/>
      </patternFill>
    </fill>
    <fill>
      <patternFill patternType="solid">
        <fgColor rgb="FFFFFFFF"/>
        <bgColor rgb="FFF6F7F8"/>
      </patternFill>
    </fill>
    <fill>
      <patternFill patternType="solid">
        <fgColor rgb="FFEEF7DC"/>
        <bgColor rgb="FFFFF4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ADDE2"/>
      </left>
      <right style="thin">
        <color rgb="FFDADDE2"/>
      </right>
      <top style="thin">
        <color rgb="FFDADDE2"/>
      </top>
      <bottom style="thin">
        <color rgb="FFDADD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9" fillId="7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9" fillId="7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9" fillId="7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4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6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Georgia"/>
        <charset val="1"/>
        <family val="0"/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ADDE2"/>
      <rgbColor rgb="FF878787"/>
      <rgbColor rgb="FF9999FF"/>
      <rgbColor rgb="FF993366"/>
      <rgbColor rgb="FFFFF4DD"/>
      <rgbColor rgb="FFF6F7F8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F7DC"/>
      <rgbColor rgb="FFFFFF99"/>
      <rgbColor rgb="FF99CCFF"/>
      <rgbColor rgb="FFFF99CC"/>
      <rgbColor rgb="FFCC99FF"/>
      <rgbColor rgb="FFFFCC99"/>
      <rgbColor rgb="FF3366FF"/>
      <rgbColor rgb="FF33CCCC"/>
      <rgbColor rgb="FF8CC63F"/>
      <rgbColor rgb="FFFFCC00"/>
      <rgbColor rgb="FFFF9900"/>
      <rgbColor rgb="FFFF6600"/>
      <rgbColor rgb="FF465470"/>
      <rgbColor rgb="FF969696"/>
      <rgbColor rgb="FF003366"/>
      <rgbColor rgb="FF339966"/>
      <rgbColor rgb="FF0A1428"/>
      <rgbColor rgb="FF333300"/>
      <rgbColor rgb="FF993300"/>
      <rgbColor rgb="FF993366"/>
      <rgbColor rgb="FF333399"/>
      <rgbColor rgb="FF2B3A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Income against the yearly payment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8cc63f"/>
            </a:solidFill>
            <a:ln w="0">
              <a:solidFill>
                <a:srgbClr val="8cc63f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Summary!$A$18:$A$21</c:f>
              <c:strCache>
                <c:ptCount val="4"/>
                <c:pt idx="0">
                  <c:v>Net operating income</c:v>
                </c:pt>
                <c:pt idx="1">
                  <c:v>NOI, anchor dark</c:v>
                </c:pt>
                <c:pt idx="2">
                  <c:v>Amortizing payment</c:v>
                </c:pt>
                <c:pt idx="3">
                  <c:v>Interest-only payment</c:v>
                </c:pt>
              </c:strCache>
            </c:strRef>
          </c:cat>
          <c:val>
            <c:numRef>
              <c:f>Summary!$B$18:$B$21</c:f>
              <c:numCache>
                <c:formatCode>\$#,##0;[RED]"-$"#,##0</c:formatCode>
                <c:ptCount val="4"/>
                <c:pt idx="0">
                  <c:v>986849.74566474</c:v>
                </c:pt>
                <c:pt idx="1">
                  <c:v>143056.358381503</c:v>
                </c:pt>
                <c:pt idx="2">
                  <c:v>789478.569241488</c:v>
                </c:pt>
                <c:pt idx="3">
                  <c:v>755812.5</c:v>
                </c:pt>
              </c:numCache>
            </c:numRef>
          </c:val>
        </c:ser>
        <c:gapWidth val="150"/>
        <c:overlap val="0"/>
        <c:axId val="99260214"/>
        <c:axId val="92494539"/>
      </c:barChart>
      <c:catAx>
        <c:axId val="9926021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2494539"/>
        <c:crosses val="autoZero"/>
        <c:auto val="1"/>
        <c:lblAlgn val="ctr"/>
        <c:lblOffset val="100"/>
        <c:noMultiLvlLbl val="0"/>
      </c:catAx>
      <c:valAx>
        <c:axId val="9249453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926021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16</xdr:row>
      <xdr:rowOff>0</xdr:rowOff>
    </xdr:from>
    <xdr:to>
      <xdr:col>5</xdr:col>
      <xdr:colOff>1029600</xdr:colOff>
      <xdr:row>30</xdr:row>
      <xdr:rowOff>32400</xdr:rowOff>
    </xdr:to>
    <xdr:graphicFrame>
      <xdr:nvGraphicFramePr>
        <xdr:cNvPr id="0" name="Chart 1"/>
        <xdr:cNvGraphicFramePr/>
      </xdr:nvGraphicFramePr>
      <xdr:xfrm>
        <a:off x="4370040" y="3209760"/>
        <a:ext cx="53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30"/>
    <col collapsed="false" customWidth="true" hidden="false" outlineLevel="0" max="3" min="3" style="0" width="52"/>
  </cols>
  <sheetData>
    <row r="1" customFormat="false" ht="27.75" hidden="false" customHeight="true" outlineLevel="0" collapsed="false">
      <c r="A1" s="1" t="s">
        <v>0</v>
      </c>
      <c r="B1" s="2"/>
      <c r="C1" s="2"/>
    </row>
    <row r="3" customFormat="false" ht="15" hidden="false" customHeight="false" outlineLevel="0" collapsed="false">
      <c r="A3" s="3" t="s">
        <v>1</v>
      </c>
    </row>
    <row r="5" customFormat="false" ht="15" hidden="false" customHeight="false" outlineLevel="0" collapsed="false">
      <c r="A5" s="4" t="s">
        <v>2</v>
      </c>
      <c r="B5" s="5"/>
    </row>
    <row r="6" customFormat="false" ht="15" hidden="false" customHeight="false" outlineLevel="0" collapsed="false">
      <c r="A6" s="6" t="s">
        <v>3</v>
      </c>
      <c r="B6" s="7" t="s">
        <v>4</v>
      </c>
    </row>
    <row r="7" customFormat="false" ht="15" hidden="false" customHeight="false" outlineLevel="0" collapsed="false">
      <c r="A7" s="6" t="s">
        <v>5</v>
      </c>
      <c r="B7" s="7" t="s">
        <v>6</v>
      </c>
    </row>
    <row r="8" customFormat="false" ht="15" hidden="false" customHeight="false" outlineLevel="0" collapsed="false">
      <c r="A8" s="6" t="s">
        <v>7</v>
      </c>
      <c r="B8" s="8" t="n">
        <v>13900000</v>
      </c>
    </row>
    <row r="9" customFormat="false" ht="15" hidden="false" customHeight="false" outlineLevel="0" collapsed="false">
      <c r="A9" s="6" t="s">
        <v>8</v>
      </c>
      <c r="B9" s="9" t="n">
        <v>2026</v>
      </c>
    </row>
    <row r="11" customFormat="false" ht="15" hidden="false" customHeight="false" outlineLevel="0" collapsed="false">
      <c r="A11" s="4" t="s">
        <v>9</v>
      </c>
      <c r="B11" s="5"/>
    </row>
    <row r="12" customFormat="false" ht="15" hidden="false" customHeight="false" outlineLevel="0" collapsed="false">
      <c r="A12" s="6" t="s">
        <v>10</v>
      </c>
      <c r="B12" s="8" t="n">
        <v>210000</v>
      </c>
    </row>
    <row r="13" customFormat="false" ht="15" hidden="false" customHeight="false" outlineLevel="0" collapsed="false">
      <c r="A13" s="6" t="s">
        <v>11</v>
      </c>
      <c r="B13" s="8" t="n">
        <v>95000</v>
      </c>
    </row>
    <row r="14" customFormat="false" ht="15" hidden="false" customHeight="false" outlineLevel="0" collapsed="false">
      <c r="A14" s="6" t="s">
        <v>12</v>
      </c>
      <c r="B14" s="8" t="n">
        <v>185000</v>
      </c>
      <c r="C14" s="3" t="s">
        <v>13</v>
      </c>
    </row>
    <row r="15" customFormat="false" ht="15" hidden="false" customHeight="false" outlineLevel="0" collapsed="false">
      <c r="A15" s="6" t="s">
        <v>14</v>
      </c>
      <c r="B15" s="10" t="n">
        <v>0.1</v>
      </c>
      <c r="C15" s="3" t="s">
        <v>15</v>
      </c>
    </row>
    <row r="16" customFormat="false" ht="15" hidden="false" customHeight="false" outlineLevel="0" collapsed="false">
      <c r="A16" s="6" t="s">
        <v>16</v>
      </c>
      <c r="B16" s="8" t="n">
        <v>25000</v>
      </c>
      <c r="C16" s="3" t="s">
        <v>17</v>
      </c>
    </row>
    <row r="18" customFormat="false" ht="15" hidden="false" customHeight="false" outlineLevel="0" collapsed="false">
      <c r="A18" s="4" t="s">
        <v>18</v>
      </c>
      <c r="B18" s="5"/>
    </row>
    <row r="19" customFormat="false" ht="15" hidden="false" customHeight="false" outlineLevel="0" collapsed="false">
      <c r="A19" s="6" t="s">
        <v>19</v>
      </c>
      <c r="B19" s="10" t="n">
        <v>0.03</v>
      </c>
      <c r="C19" s="3" t="s">
        <v>20</v>
      </c>
    </row>
    <row r="20" customFormat="false" ht="15" hidden="false" customHeight="false" outlineLevel="0" collapsed="false">
      <c r="A20" s="6" t="s">
        <v>21</v>
      </c>
      <c r="B20" s="10" t="n">
        <v>0.1</v>
      </c>
      <c r="C20" s="3" t="s">
        <v>22</v>
      </c>
    </row>
    <row r="21" customFormat="false" ht="15" hidden="false" customHeight="false" outlineLevel="0" collapsed="false">
      <c r="A21" s="6" t="s">
        <v>23</v>
      </c>
      <c r="B21" s="10" t="n">
        <v>0.04</v>
      </c>
    </row>
    <row r="22" customFormat="false" ht="15" hidden="false" customHeight="false" outlineLevel="0" collapsed="false">
      <c r="A22" s="6" t="s">
        <v>24</v>
      </c>
      <c r="B22" s="11" t="n">
        <v>0.2</v>
      </c>
    </row>
    <row r="23" customFormat="false" ht="15" hidden="false" customHeight="false" outlineLevel="0" collapsed="false">
      <c r="A23" s="6" t="s">
        <v>25</v>
      </c>
      <c r="B23" s="11" t="n">
        <v>0.5</v>
      </c>
      <c r="C23" s="3" t="s">
        <v>26</v>
      </c>
    </row>
    <row r="24" customFormat="false" ht="15" hidden="false" customHeight="false" outlineLevel="0" collapsed="false">
      <c r="A24" s="6" t="s">
        <v>27</v>
      </c>
      <c r="B24" s="11" t="n">
        <v>1.5</v>
      </c>
    </row>
    <row r="26" customFormat="false" ht="15" hidden="false" customHeight="false" outlineLevel="0" collapsed="false">
      <c r="A26" s="4" t="s">
        <v>28</v>
      </c>
      <c r="B26" s="5"/>
    </row>
    <row r="27" customFormat="false" ht="15" hidden="false" customHeight="false" outlineLevel="0" collapsed="false">
      <c r="A27" s="6" t="s">
        <v>29</v>
      </c>
      <c r="B27" s="10" t="n">
        <v>0.0725</v>
      </c>
      <c r="C27" s="3" t="s">
        <v>30</v>
      </c>
    </row>
    <row r="28" customFormat="false" ht="15" hidden="false" customHeight="false" outlineLevel="0" collapsed="false">
      <c r="A28" s="6" t="s">
        <v>31</v>
      </c>
      <c r="B28" s="9" t="n">
        <v>25</v>
      </c>
    </row>
    <row r="29" customFormat="false" ht="15" hidden="false" customHeight="false" outlineLevel="0" collapsed="false">
      <c r="A29" s="6" t="s">
        <v>32</v>
      </c>
      <c r="B29" s="9" t="n">
        <v>7</v>
      </c>
    </row>
    <row r="30" customFormat="false" ht="15" hidden="false" customHeight="false" outlineLevel="0" collapsed="false">
      <c r="A30" s="6" t="s">
        <v>33</v>
      </c>
      <c r="B30" s="12" t="n">
        <v>1.25</v>
      </c>
    </row>
    <row r="31" customFormat="false" ht="15" hidden="false" customHeight="false" outlineLevel="0" collapsed="false">
      <c r="A31" s="6" t="s">
        <v>34</v>
      </c>
      <c r="B31" s="10" t="n">
        <v>0.75</v>
      </c>
    </row>
    <row r="32" customFormat="false" ht="15" hidden="false" customHeight="false" outlineLevel="0" collapsed="false">
      <c r="A32" s="6" t="s">
        <v>35</v>
      </c>
      <c r="B32" s="8" t="n">
        <v>6900000</v>
      </c>
      <c r="C32" s="3" t="s">
        <v>36</v>
      </c>
    </row>
    <row r="33" customFormat="false" ht="15" hidden="false" customHeight="false" outlineLevel="0" collapsed="false">
      <c r="A33" s="6" t="s">
        <v>37</v>
      </c>
      <c r="B33" s="10" t="n">
        <v>0.02</v>
      </c>
    </row>
    <row r="35" customFormat="false" ht="15" hidden="false" customHeight="false" outlineLevel="0" collapsed="false">
      <c r="A35" s="4" t="s">
        <v>38</v>
      </c>
      <c r="B35" s="5"/>
    </row>
    <row r="36" customFormat="false" ht="15" hidden="false" customHeight="false" outlineLevel="0" collapsed="false">
      <c r="A36" s="6" t="s">
        <v>39</v>
      </c>
      <c r="B36" s="7" t="s">
        <v>40</v>
      </c>
      <c r="C36" s="3" t="s">
        <v>41</v>
      </c>
    </row>
    <row r="37" customFormat="false" ht="15" hidden="false" customHeight="false" outlineLevel="0" collapsed="false">
      <c r="A37" s="6" t="s">
        <v>42</v>
      </c>
      <c r="B37" s="10" t="n">
        <v>0.5</v>
      </c>
      <c r="C37" s="3" t="s">
        <v>43</v>
      </c>
    </row>
    <row r="39" customFormat="false" ht="15" hidden="false" customHeight="false" outlineLevel="0" collapsed="false">
      <c r="A39" s="3" t="s">
        <v>44</v>
      </c>
    </row>
  </sheetData>
  <dataValidations count="4">
    <dataValidation allowBlank="false" errorStyle="stop" operator="between" showDropDown="false" showErrorMessage="false" showInputMessage="false" sqref="B28" type="whole">
      <formula1>5</formula1>
      <formula2>40</formula2>
    </dataValidation>
    <dataValidation allowBlank="false" errorStyle="stop" operator="between" showDropDown="false" showErrorMessage="false" showInputMessage="false" sqref="B29" type="whole">
      <formula1>1</formula1>
      <formula2>10</formula2>
    </dataValidation>
    <dataValidation allowBlank="false" errorStyle="stop" operator="between" showDropDown="false" showErrorMessage="false" showInputMessage="false" sqref="B9" type="whole">
      <formula1>2000</formula1>
      <formula2>2100</formula2>
    </dataValidation>
    <dataValidation allowBlank="false" errorStyle="stop" operator="between" showDropDown="false" showErrorMessage="false" showInputMessage="false" sqref="B15 B19:B21 B31 B33 B37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4"/>
    <col collapsed="false" customWidth="true" hidden="false" outlineLevel="0" max="5" min="3" style="0" width="11"/>
    <col collapsed="false" customWidth="true" hidden="false" outlineLevel="0" max="6" min="6" style="0" width="15"/>
    <col collapsed="false" customWidth="true" hidden="false" outlineLevel="0" max="8" min="7" style="0" width="12"/>
    <col collapsed="false" customWidth="true" hidden="false" outlineLevel="0" max="10" min="9" style="0" width="14"/>
    <col collapsed="false" customWidth="true" hidden="false" outlineLevel="0" max="11" min="11" style="0" width="11"/>
    <col collapsed="false" customWidth="true" hidden="false" outlineLevel="0" max="12" min="12" style="0" width="13"/>
    <col collapsed="false" customWidth="true" hidden="false" outlineLevel="0" max="13" min="13" style="0" width="14"/>
    <col collapsed="false" customWidth="true" hidden="false" outlineLevel="0" max="14" min="14" style="0" width="12"/>
    <col collapsed="false" customWidth="true" hidden="false" outlineLevel="0" max="15" min="15" style="0" width="11"/>
    <col collapsed="false" customWidth="true" hidden="false" outlineLevel="0" max="16" min="16" style="0" width="10"/>
  </cols>
  <sheetData>
    <row r="1" customFormat="false" ht="27.75" hidden="false" customHeight="true" outlineLevel="0" collapsed="false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3" customFormat="false" ht="15" hidden="false" customHeight="false" outlineLevel="0" collapsed="false">
      <c r="A3" s="3" t="s">
        <v>46</v>
      </c>
    </row>
    <row r="5" customFormat="false" ht="43.5" hidden="false" customHeight="true" outlineLevel="0" collapsed="false">
      <c r="A5" s="13" t="s">
        <v>47</v>
      </c>
      <c r="B5" s="13" t="s">
        <v>48</v>
      </c>
      <c r="C5" s="13" t="s">
        <v>49</v>
      </c>
      <c r="D5" s="14" t="s">
        <v>50</v>
      </c>
      <c r="E5" s="14" t="s">
        <v>51</v>
      </c>
      <c r="F5" s="13" t="s">
        <v>52</v>
      </c>
      <c r="G5" s="14" t="s">
        <v>53</v>
      </c>
      <c r="H5" s="13" t="s">
        <v>54</v>
      </c>
      <c r="I5" s="14" t="s">
        <v>55</v>
      </c>
      <c r="J5" s="14" t="s">
        <v>56</v>
      </c>
      <c r="K5" s="14" t="s">
        <v>57</v>
      </c>
      <c r="L5" s="14" t="s">
        <v>58</v>
      </c>
      <c r="M5" s="14" t="s">
        <v>59</v>
      </c>
      <c r="N5" s="14" t="s">
        <v>60</v>
      </c>
      <c r="O5" s="14" t="s">
        <v>61</v>
      </c>
      <c r="P5" s="13" t="s">
        <v>62</v>
      </c>
    </row>
    <row r="6" customFormat="false" ht="15" hidden="false" customHeight="false" outlineLevel="0" collapsed="false">
      <c r="A6" s="7" t="s">
        <v>40</v>
      </c>
      <c r="B6" s="7" t="s">
        <v>63</v>
      </c>
      <c r="C6" s="7" t="s">
        <v>64</v>
      </c>
      <c r="D6" s="15" t="n">
        <v>45000</v>
      </c>
      <c r="E6" s="11" t="n">
        <v>11</v>
      </c>
      <c r="F6" s="7" t="s">
        <v>65</v>
      </c>
      <c r="G6" s="9" t="n">
        <v>2036</v>
      </c>
      <c r="H6" s="7" t="s">
        <v>66</v>
      </c>
      <c r="I6" s="8" t="n">
        <v>22500000</v>
      </c>
      <c r="J6" s="16" t="n">
        <f aca="false">N(D6)*N(E6)</f>
        <v>495000</v>
      </c>
      <c r="K6" s="17" t="n">
        <f aca="false">IF(OR(N(D6)=0,'Rent Roll'!$D$26=0),0,D6/'Rent Roll'!$D$26)</f>
        <v>0.520231213872832</v>
      </c>
      <c r="L6" s="16" t="n">
        <f aca="false">IF(OR(A6="Vacant",N(D6)=0),0,K6*IF(F6="NNN",(Inputs!$B$12+Inputs!$B$13+Inputs!$B$14*(1+Inputs!$B$15)),IF(F6="Modified gross",(Inputs!$B$12+Inputs!$B$13),0)))</f>
        <v>264537.572254335</v>
      </c>
      <c r="M6" s="16" t="n">
        <f aca="false">IF(A6="Vacant",0,J6+L6)</f>
        <v>759537.572254335</v>
      </c>
      <c r="N6" s="17" t="n">
        <f aca="false">IF(N(I6)=0,0,M6/I6)</f>
        <v>0.033757225433526</v>
      </c>
      <c r="O6" s="16" t="n">
        <f aca="false">IF(OR(N(I6)=0,N(D6)=0),0,I6/D6)</f>
        <v>500</v>
      </c>
      <c r="P6" s="18" t="str">
        <f aca="false">IF(N(D6)=0,"",IF(OR(B6="Anchor",B6="Junior anchor"),"Anchor","Shop"))</f>
        <v>Anchor</v>
      </c>
    </row>
    <row r="7" customFormat="false" ht="15" hidden="false" customHeight="false" outlineLevel="0" collapsed="false">
      <c r="A7" s="7" t="s">
        <v>67</v>
      </c>
      <c r="B7" s="7" t="s">
        <v>68</v>
      </c>
      <c r="C7" s="7" t="s">
        <v>64</v>
      </c>
      <c r="D7" s="15" t="n">
        <v>12000</v>
      </c>
      <c r="E7" s="11" t="n">
        <v>13.5</v>
      </c>
      <c r="F7" s="7" t="s">
        <v>65</v>
      </c>
      <c r="G7" s="9" t="n">
        <v>2031</v>
      </c>
      <c r="H7" s="7" t="s">
        <v>66</v>
      </c>
      <c r="I7" s="8" t="n">
        <v>2400000</v>
      </c>
      <c r="J7" s="16" t="n">
        <f aca="false">N(D7)*N(E7)</f>
        <v>162000</v>
      </c>
      <c r="K7" s="17" t="n">
        <f aca="false">IF(OR(N(D7)=0,'Rent Roll'!$D$26=0),0,D7/'Rent Roll'!$D$26)</f>
        <v>0.138728323699422</v>
      </c>
      <c r="L7" s="16" t="n">
        <f aca="false">IF(OR(A7="Vacant",N(D7)=0),0,K7*IF(F7="NNN",(Inputs!$B$12+Inputs!$B$13+Inputs!$B$14*(1+Inputs!$B$15)),IF(F7="Modified gross",(Inputs!$B$12+Inputs!$B$13),0)))</f>
        <v>70543.3526011561</v>
      </c>
      <c r="M7" s="16" t="n">
        <f aca="false">IF(A7="Vacant",0,J7+L7)</f>
        <v>232543.352601156</v>
      </c>
      <c r="N7" s="17" t="n">
        <f aca="false">IF(N(I7)=0,0,M7/I7)</f>
        <v>0.096893063583815</v>
      </c>
      <c r="O7" s="16" t="n">
        <f aca="false">IF(OR(N(I7)=0,N(D7)=0),0,I7/D7)</f>
        <v>200</v>
      </c>
      <c r="P7" s="18" t="str">
        <f aca="false">IF(N(D7)=0,"",IF(OR(B7="Anchor",B7="Junior anchor"),"Anchor","Shop"))</f>
        <v>Anchor</v>
      </c>
    </row>
    <row r="8" customFormat="false" ht="15" hidden="false" customHeight="false" outlineLevel="0" collapsed="false">
      <c r="A8" s="7" t="s">
        <v>69</v>
      </c>
      <c r="B8" s="7" t="s">
        <v>70</v>
      </c>
      <c r="C8" s="7" t="s">
        <v>64</v>
      </c>
      <c r="D8" s="15" t="n">
        <v>3500</v>
      </c>
      <c r="E8" s="11" t="n">
        <v>34</v>
      </c>
      <c r="F8" s="7" t="s">
        <v>65</v>
      </c>
      <c r="G8" s="9" t="n">
        <v>2035</v>
      </c>
      <c r="H8" s="7" t="s">
        <v>66</v>
      </c>
      <c r="I8" s="8"/>
      <c r="J8" s="16" t="n">
        <f aca="false">N(D8)*N(E8)</f>
        <v>119000</v>
      </c>
      <c r="K8" s="17" t="n">
        <f aca="false">IF(OR(N(D8)=0,'Rent Roll'!$D$26=0),0,D8/'Rent Roll'!$D$26)</f>
        <v>0.0404624277456647</v>
      </c>
      <c r="L8" s="16" t="n">
        <f aca="false">IF(OR(A8="Vacant",N(D8)=0),0,K8*IF(F8="NNN",(Inputs!$B$12+Inputs!$B$13+Inputs!$B$14*(1+Inputs!$B$15)),IF(F8="Modified gross",(Inputs!$B$12+Inputs!$B$13),0)))</f>
        <v>20575.1445086705</v>
      </c>
      <c r="M8" s="16" t="n">
        <f aca="false">IF(A8="Vacant",0,J8+L8)</f>
        <v>139575.144508671</v>
      </c>
      <c r="N8" s="17" t="n">
        <f aca="false">IF(N(I8)=0,0,M8/I8)</f>
        <v>0</v>
      </c>
      <c r="O8" s="16" t="n">
        <f aca="false">IF(OR(N(I8)=0,N(D8)=0),0,I8/D8)</f>
        <v>0</v>
      </c>
      <c r="P8" s="18" t="str">
        <f aca="false">IF(N(D8)=0,"",IF(OR(B8="Anchor",B8="Junior anchor"),"Anchor","Shop"))</f>
        <v>Shop</v>
      </c>
    </row>
    <row r="9" customFormat="false" ht="15" hidden="false" customHeight="false" outlineLevel="0" collapsed="false">
      <c r="A9" s="7" t="s">
        <v>71</v>
      </c>
      <c r="B9" s="7" t="s">
        <v>72</v>
      </c>
      <c r="C9" s="7" t="s">
        <v>73</v>
      </c>
      <c r="D9" s="15" t="n">
        <v>4000</v>
      </c>
      <c r="E9" s="11" t="n">
        <v>22</v>
      </c>
      <c r="F9" s="7" t="s">
        <v>65</v>
      </c>
      <c r="G9" s="9" t="n">
        <v>2029</v>
      </c>
      <c r="H9" s="7" t="s">
        <v>74</v>
      </c>
      <c r="I9" s="8" t="n">
        <v>1600000</v>
      </c>
      <c r="J9" s="16" t="n">
        <f aca="false">N(D9)*N(E9)</f>
        <v>88000</v>
      </c>
      <c r="K9" s="17" t="n">
        <f aca="false">IF(OR(N(D9)=0,'Rent Roll'!$D$26=0),0,D9/'Rent Roll'!$D$26)</f>
        <v>0.046242774566474</v>
      </c>
      <c r="L9" s="16" t="n">
        <f aca="false">IF(OR(A9="Vacant",N(D9)=0),0,K9*IF(F9="NNN",(Inputs!$B$12+Inputs!$B$13+Inputs!$B$14*(1+Inputs!$B$15)),IF(F9="Modified gross",(Inputs!$B$12+Inputs!$B$13),0)))</f>
        <v>23514.450867052</v>
      </c>
      <c r="M9" s="16" t="n">
        <f aca="false">IF(A9="Vacant",0,J9+L9)</f>
        <v>111514.450867052</v>
      </c>
      <c r="N9" s="17" t="n">
        <f aca="false">IF(N(I9)=0,0,M9/I9)</f>
        <v>0.0696965317919075</v>
      </c>
      <c r="O9" s="16" t="n">
        <f aca="false">IF(OR(N(I9)=0,N(D9)=0),0,I9/D9)</f>
        <v>400</v>
      </c>
      <c r="P9" s="18" t="str">
        <f aca="false">IF(N(D9)=0,"",IF(OR(B9="Anchor",B9="Junior anchor"),"Anchor","Shop"))</f>
        <v>Shop</v>
      </c>
    </row>
    <row r="10" customFormat="false" ht="15" hidden="false" customHeight="false" outlineLevel="0" collapsed="false">
      <c r="A10" s="7" t="s">
        <v>75</v>
      </c>
      <c r="B10" s="7" t="s">
        <v>72</v>
      </c>
      <c r="C10" s="7" t="s">
        <v>76</v>
      </c>
      <c r="D10" s="15" t="n">
        <v>4200</v>
      </c>
      <c r="E10" s="11" t="n">
        <v>19</v>
      </c>
      <c r="F10" s="7" t="s">
        <v>77</v>
      </c>
      <c r="G10" s="9" t="n">
        <v>2030</v>
      </c>
      <c r="H10" s="7" t="s">
        <v>74</v>
      </c>
      <c r="I10" s="8" t="n">
        <v>1300000</v>
      </c>
      <c r="J10" s="16" t="n">
        <f aca="false">N(D10)*N(E10)</f>
        <v>79800</v>
      </c>
      <c r="K10" s="17" t="n">
        <f aca="false">IF(OR(N(D10)=0,'Rent Roll'!$D$26=0),0,D10/'Rent Roll'!$D$26)</f>
        <v>0.0485549132947977</v>
      </c>
      <c r="L10" s="16" t="n">
        <f aca="false">IF(OR(A10="Vacant",N(D10)=0),0,K10*IF(F10="NNN",(Inputs!$B$12+Inputs!$B$13+Inputs!$B$14*(1+Inputs!$B$15)),IF(F10="Modified gross",(Inputs!$B$12+Inputs!$B$13),0)))</f>
        <v>14809.2485549133</v>
      </c>
      <c r="M10" s="16" t="n">
        <f aca="false">IF(A10="Vacant",0,J10+L10)</f>
        <v>94609.2485549133</v>
      </c>
      <c r="N10" s="17" t="n">
        <f aca="false">IF(N(I10)=0,0,M10/I10)</f>
        <v>0.072776345042241</v>
      </c>
      <c r="O10" s="16" t="n">
        <f aca="false">IF(OR(N(I10)=0,N(D10)=0),0,I10/D10)</f>
        <v>309.52380952381</v>
      </c>
      <c r="P10" s="18" t="str">
        <f aca="false">IF(N(D10)=0,"",IF(OR(B10="Anchor",B10="Junior anchor"),"Anchor","Shop"))</f>
        <v>Shop</v>
      </c>
    </row>
    <row r="11" customFormat="false" ht="15" hidden="false" customHeight="false" outlineLevel="0" collapsed="false">
      <c r="A11" s="7" t="s">
        <v>78</v>
      </c>
      <c r="B11" s="7" t="s">
        <v>72</v>
      </c>
      <c r="C11" s="7" t="s">
        <v>73</v>
      </c>
      <c r="D11" s="15" t="n">
        <v>2800</v>
      </c>
      <c r="E11" s="11" t="n">
        <v>18</v>
      </c>
      <c r="F11" s="7" t="s">
        <v>65</v>
      </c>
      <c r="G11" s="9" t="n">
        <v>2033</v>
      </c>
      <c r="H11" s="7" t="s">
        <v>66</v>
      </c>
      <c r="I11" s="8" t="n">
        <v>520000</v>
      </c>
      <c r="J11" s="16" t="n">
        <f aca="false">N(D11)*N(E11)</f>
        <v>50400</v>
      </c>
      <c r="K11" s="17" t="n">
        <f aca="false">IF(OR(N(D11)=0,'Rent Roll'!$D$26=0),0,D11/'Rent Roll'!$D$26)</f>
        <v>0.0323699421965318</v>
      </c>
      <c r="L11" s="16" t="n">
        <f aca="false">IF(OR(A11="Vacant",N(D11)=0),0,K11*IF(F11="NNN",(Inputs!$B$12+Inputs!$B$13+Inputs!$B$14*(1+Inputs!$B$15)),IF(F11="Modified gross",(Inputs!$B$12+Inputs!$B$13),0)))</f>
        <v>16460.1156069364</v>
      </c>
      <c r="M11" s="16" t="n">
        <f aca="false">IF(A11="Vacant",0,J11+L11)</f>
        <v>66860.1156069364</v>
      </c>
      <c r="N11" s="17" t="n">
        <f aca="false">IF(N(I11)=0,0,M11/I11)</f>
        <v>0.128577145397955</v>
      </c>
      <c r="O11" s="16" t="n">
        <f aca="false">IF(OR(N(I11)=0,N(D11)=0),0,I11/D11)</f>
        <v>185.714285714286</v>
      </c>
      <c r="P11" s="18" t="str">
        <f aca="false">IF(N(D11)=0,"",IF(OR(B11="Anchor",B11="Junior anchor"),"Anchor","Shop"))</f>
        <v>Shop</v>
      </c>
    </row>
    <row r="12" customFormat="false" ht="15" hidden="false" customHeight="false" outlineLevel="0" collapsed="false">
      <c r="A12" s="7" t="s">
        <v>79</v>
      </c>
      <c r="B12" s="7" t="s">
        <v>72</v>
      </c>
      <c r="C12" s="7" t="s">
        <v>73</v>
      </c>
      <c r="D12" s="15" t="n">
        <v>2600</v>
      </c>
      <c r="E12" s="11" t="n">
        <v>23</v>
      </c>
      <c r="F12" s="7" t="s">
        <v>77</v>
      </c>
      <c r="G12" s="9" t="n">
        <v>2032</v>
      </c>
      <c r="H12" s="7" t="s">
        <v>66</v>
      </c>
      <c r="I12" s="8"/>
      <c r="J12" s="16" t="n">
        <f aca="false">N(D12)*N(E12)</f>
        <v>59800</v>
      </c>
      <c r="K12" s="17" t="n">
        <f aca="false">IF(OR(N(D12)=0,'Rent Roll'!$D$26=0),0,D12/'Rent Roll'!$D$26)</f>
        <v>0.0300578034682081</v>
      </c>
      <c r="L12" s="16" t="n">
        <f aca="false">IF(OR(A12="Vacant",N(D12)=0),0,K12*IF(F12="NNN",(Inputs!$B$12+Inputs!$B$13+Inputs!$B$14*(1+Inputs!$B$15)),IF(F12="Modified gross",(Inputs!$B$12+Inputs!$B$13),0)))</f>
        <v>9167.63005780347</v>
      </c>
      <c r="M12" s="16" t="n">
        <f aca="false">IF(A12="Vacant",0,J12+L12)</f>
        <v>68967.6300578035</v>
      </c>
      <c r="N12" s="17" t="n">
        <f aca="false">IF(N(I12)=0,0,M12/I12)</f>
        <v>0</v>
      </c>
      <c r="O12" s="16" t="n">
        <f aca="false">IF(OR(N(I12)=0,N(D12)=0),0,I12/D12)</f>
        <v>0</v>
      </c>
      <c r="P12" s="18" t="str">
        <f aca="false">IF(N(D12)=0,"",IF(OR(B12="Anchor",B12="Junior anchor"),"Anchor","Shop"))</f>
        <v>Shop</v>
      </c>
    </row>
    <row r="13" customFormat="false" ht="15" hidden="false" customHeight="false" outlineLevel="0" collapsed="false">
      <c r="A13" s="7" t="s">
        <v>80</v>
      </c>
      <c r="B13" s="7" t="s">
        <v>72</v>
      </c>
      <c r="C13" s="7" t="s">
        <v>76</v>
      </c>
      <c r="D13" s="15" t="n">
        <v>1800</v>
      </c>
      <c r="E13" s="11" t="n">
        <v>25</v>
      </c>
      <c r="F13" s="7" t="s">
        <v>65</v>
      </c>
      <c r="G13" s="9" t="n">
        <v>2027</v>
      </c>
      <c r="H13" s="7" t="s">
        <v>74</v>
      </c>
      <c r="I13" s="8" t="n">
        <v>700000</v>
      </c>
      <c r="J13" s="16" t="n">
        <f aca="false">N(D13)*N(E13)</f>
        <v>45000</v>
      </c>
      <c r="K13" s="17" t="n">
        <f aca="false">IF(OR(N(D13)=0,'Rent Roll'!$D$26=0),0,D13/'Rent Roll'!$D$26)</f>
        <v>0.0208092485549133</v>
      </c>
      <c r="L13" s="16" t="n">
        <f aca="false">IF(OR(A13="Vacant",N(D13)=0),0,K13*IF(F13="NNN",(Inputs!$B$12+Inputs!$B$13+Inputs!$B$14*(1+Inputs!$B$15)),IF(F13="Modified gross",(Inputs!$B$12+Inputs!$B$13),0)))</f>
        <v>10581.5028901734</v>
      </c>
      <c r="M13" s="16" t="n">
        <f aca="false">IF(A13="Vacant",0,J13+L13)</f>
        <v>55581.5028901734</v>
      </c>
      <c r="N13" s="17" t="n">
        <f aca="false">IF(N(I13)=0,0,M13/I13)</f>
        <v>0.079402146985962</v>
      </c>
      <c r="O13" s="16" t="n">
        <f aca="false">IF(OR(N(I13)=0,N(D13)=0),0,I13/D13)</f>
        <v>388.888888888889</v>
      </c>
      <c r="P13" s="18" t="str">
        <f aca="false">IF(N(D13)=0,"",IF(OR(B13="Anchor",B13="Junior anchor"),"Anchor","Shop"))</f>
        <v>Shop</v>
      </c>
    </row>
    <row r="14" customFormat="false" ht="15" hidden="false" customHeight="false" outlineLevel="0" collapsed="false">
      <c r="A14" s="7" t="s">
        <v>81</v>
      </c>
      <c r="B14" s="7" t="s">
        <v>72</v>
      </c>
      <c r="C14" s="7" t="s">
        <v>64</v>
      </c>
      <c r="D14" s="15" t="n">
        <v>1500</v>
      </c>
      <c r="E14" s="11" t="n">
        <v>28</v>
      </c>
      <c r="F14" s="7" t="s">
        <v>65</v>
      </c>
      <c r="G14" s="9" t="n">
        <v>2028</v>
      </c>
      <c r="H14" s="7" t="s">
        <v>74</v>
      </c>
      <c r="I14" s="8" t="n">
        <v>1100000</v>
      </c>
      <c r="J14" s="16" t="n">
        <f aca="false">N(D14)*N(E14)</f>
        <v>42000</v>
      </c>
      <c r="K14" s="17" t="n">
        <f aca="false">IF(OR(N(D14)=0,'Rent Roll'!$D$26=0),0,D14/'Rent Roll'!$D$26)</f>
        <v>0.0173410404624277</v>
      </c>
      <c r="L14" s="16" t="n">
        <f aca="false">IF(OR(A14="Vacant",N(D14)=0),0,K14*IF(F14="NNN",(Inputs!$B$12+Inputs!$B$13+Inputs!$B$14*(1+Inputs!$B$15)),IF(F14="Modified gross",(Inputs!$B$12+Inputs!$B$13),0)))</f>
        <v>8817.91907514451</v>
      </c>
      <c r="M14" s="16" t="n">
        <f aca="false">IF(A14="Vacant",0,J14+L14)</f>
        <v>50817.9190751445</v>
      </c>
      <c r="N14" s="17" t="n">
        <f aca="false">IF(N(I14)=0,0,M14/I14)</f>
        <v>0.0461981082501314</v>
      </c>
      <c r="O14" s="16" t="n">
        <f aca="false">IF(OR(N(I14)=0,N(D14)=0),0,I14/D14)</f>
        <v>733.333333333333</v>
      </c>
      <c r="P14" s="18" t="str">
        <f aca="false">IF(N(D14)=0,"",IF(OR(B14="Anchor",B14="Junior anchor"),"Anchor","Shop"))</f>
        <v>Shop</v>
      </c>
    </row>
    <row r="15" customFormat="false" ht="15" hidden="false" customHeight="false" outlineLevel="0" collapsed="false">
      <c r="A15" s="7" t="s">
        <v>82</v>
      </c>
      <c r="B15" s="7" t="s">
        <v>72</v>
      </c>
      <c r="C15" s="7" t="s">
        <v>73</v>
      </c>
      <c r="D15" s="15" t="n">
        <v>1500</v>
      </c>
      <c r="E15" s="11" t="n">
        <v>21</v>
      </c>
      <c r="F15" s="7" t="s">
        <v>83</v>
      </c>
      <c r="G15" s="9" t="n">
        <v>2029</v>
      </c>
      <c r="H15" s="7" t="s">
        <v>66</v>
      </c>
      <c r="I15" s="8"/>
      <c r="J15" s="16" t="n">
        <f aca="false">N(D15)*N(E15)</f>
        <v>31500</v>
      </c>
      <c r="K15" s="17" t="n">
        <f aca="false">IF(OR(N(D15)=0,'Rent Roll'!$D$26=0),0,D15/'Rent Roll'!$D$26)</f>
        <v>0.0173410404624277</v>
      </c>
      <c r="L15" s="16" t="n">
        <f aca="false">IF(OR(A15="Vacant",N(D15)=0),0,K15*IF(F15="NNN",(Inputs!$B$12+Inputs!$B$13+Inputs!$B$14*(1+Inputs!$B$15)),IF(F15="Modified gross",(Inputs!$B$12+Inputs!$B$13),0)))</f>
        <v>0</v>
      </c>
      <c r="M15" s="16" t="n">
        <f aca="false">IF(A15="Vacant",0,J15+L15)</f>
        <v>31500</v>
      </c>
      <c r="N15" s="17" t="n">
        <f aca="false">IF(N(I15)=0,0,M15/I15)</f>
        <v>0</v>
      </c>
      <c r="O15" s="16" t="n">
        <f aca="false">IF(OR(N(I15)=0,N(D15)=0),0,I15/D15)</f>
        <v>0</v>
      </c>
      <c r="P15" s="18" t="str">
        <f aca="false">IF(N(D15)=0,"",IF(OR(B15="Anchor",B15="Junior anchor"),"Anchor","Shop"))</f>
        <v>Shop</v>
      </c>
    </row>
    <row r="16" customFormat="false" ht="15" hidden="false" customHeight="false" outlineLevel="0" collapsed="false">
      <c r="A16" s="7" t="s">
        <v>84</v>
      </c>
      <c r="B16" s="7" t="s">
        <v>72</v>
      </c>
      <c r="C16" s="7" t="s">
        <v>73</v>
      </c>
      <c r="D16" s="15" t="n">
        <v>1400</v>
      </c>
      <c r="E16" s="11" t="n">
        <v>24</v>
      </c>
      <c r="F16" s="7" t="s">
        <v>65</v>
      </c>
      <c r="G16" s="9" t="n">
        <v>2028</v>
      </c>
      <c r="H16" s="7" t="s">
        <v>74</v>
      </c>
      <c r="I16" s="8" t="n">
        <v>420000</v>
      </c>
      <c r="J16" s="16" t="n">
        <f aca="false">N(D16)*N(E16)</f>
        <v>33600</v>
      </c>
      <c r="K16" s="17" t="n">
        <f aca="false">IF(OR(N(D16)=0,'Rent Roll'!$D$26=0),0,D16/'Rent Roll'!$D$26)</f>
        <v>0.0161849710982659</v>
      </c>
      <c r="L16" s="16" t="n">
        <f aca="false">IF(OR(A16="Vacant",N(D16)=0),0,K16*IF(F16="NNN",(Inputs!$B$12+Inputs!$B$13+Inputs!$B$14*(1+Inputs!$B$15)),IF(F16="Modified gross",(Inputs!$B$12+Inputs!$B$13),0)))</f>
        <v>8230.05780346821</v>
      </c>
      <c r="M16" s="16" t="n">
        <f aca="false">IF(A16="Vacant",0,J16+L16)</f>
        <v>41830.0578034682</v>
      </c>
      <c r="N16" s="17" t="n">
        <f aca="false">IF(N(I16)=0,0,M16/I16)</f>
        <v>0.0995953757225434</v>
      </c>
      <c r="O16" s="16" t="n">
        <f aca="false">IF(OR(N(I16)=0,N(D16)=0),0,I16/D16)</f>
        <v>300</v>
      </c>
      <c r="P16" s="18" t="str">
        <f aca="false">IF(N(D16)=0,"",IF(OR(B16="Anchor",B16="Junior anchor"),"Anchor","Shop"))</f>
        <v>Shop</v>
      </c>
    </row>
    <row r="17" customFormat="false" ht="15" hidden="false" customHeight="false" outlineLevel="0" collapsed="false">
      <c r="A17" s="7" t="s">
        <v>85</v>
      </c>
      <c r="B17" s="7" t="s">
        <v>72</v>
      </c>
      <c r="C17" s="7" t="s">
        <v>73</v>
      </c>
      <c r="D17" s="15" t="n">
        <v>1200</v>
      </c>
      <c r="E17" s="11" t="n">
        <v>23</v>
      </c>
      <c r="F17" s="7" t="s">
        <v>65</v>
      </c>
      <c r="G17" s="9" t="n">
        <v>2030</v>
      </c>
      <c r="H17" s="7" t="s">
        <v>74</v>
      </c>
      <c r="I17" s="8" t="n">
        <v>310000</v>
      </c>
      <c r="J17" s="16" t="n">
        <f aca="false">N(D17)*N(E17)</f>
        <v>27600</v>
      </c>
      <c r="K17" s="17" t="n">
        <f aca="false">IF(OR(N(D17)=0,'Rent Roll'!$D$26=0),0,D17/'Rent Roll'!$D$26)</f>
        <v>0.0138728323699422</v>
      </c>
      <c r="L17" s="16" t="n">
        <f aca="false">IF(OR(A17="Vacant",N(D17)=0),0,K17*IF(F17="NNN",(Inputs!$B$12+Inputs!$B$13+Inputs!$B$14*(1+Inputs!$B$15)),IF(F17="Modified gross",(Inputs!$B$12+Inputs!$B$13),0)))</f>
        <v>7054.33526011561</v>
      </c>
      <c r="M17" s="16" t="n">
        <f aca="false">IF(A17="Vacant",0,J17+L17)</f>
        <v>34654.3352601156</v>
      </c>
      <c r="N17" s="17" t="n">
        <f aca="false">IF(N(I17)=0,0,M17/I17)</f>
        <v>0.111788178258437</v>
      </c>
      <c r="O17" s="16" t="n">
        <f aca="false">IF(OR(N(I17)=0,N(D17)=0),0,I17/D17)</f>
        <v>258.333333333333</v>
      </c>
      <c r="P17" s="18" t="str">
        <f aca="false">IF(N(D17)=0,"",IF(OR(B17="Anchor",B17="Junior anchor"),"Anchor","Shop"))</f>
        <v>Shop</v>
      </c>
    </row>
    <row r="18" customFormat="false" ht="15" hidden="false" customHeight="false" outlineLevel="0" collapsed="false">
      <c r="A18" s="7" t="s">
        <v>86</v>
      </c>
      <c r="B18" s="7" t="s">
        <v>72</v>
      </c>
      <c r="C18" s="7"/>
      <c r="D18" s="15" t="n">
        <v>3000</v>
      </c>
      <c r="E18" s="11" t="n">
        <v>20</v>
      </c>
      <c r="F18" s="7"/>
      <c r="G18" s="9"/>
      <c r="H18" s="7"/>
      <c r="I18" s="8"/>
      <c r="J18" s="16" t="n">
        <f aca="false">N(D18)*N(E18)</f>
        <v>60000</v>
      </c>
      <c r="K18" s="17" t="n">
        <f aca="false">IF(OR(N(D18)=0,'Rent Roll'!$D$26=0),0,D18/'Rent Roll'!$D$26)</f>
        <v>0.0346820809248555</v>
      </c>
      <c r="L18" s="16" t="n">
        <f aca="false">IF(OR(A18="Vacant",N(D18)=0),0,K18*IF(F18="NNN",(Inputs!$B$12+Inputs!$B$13+Inputs!$B$14*(1+Inputs!$B$15)),IF(F18="Modified gross",(Inputs!$B$12+Inputs!$B$13),0)))</f>
        <v>0</v>
      </c>
      <c r="M18" s="16" t="n">
        <f aca="false">IF(A18="Vacant",0,J18+L18)</f>
        <v>0</v>
      </c>
      <c r="N18" s="17" t="n">
        <f aca="false">IF(N(I18)=0,0,M18/I18)</f>
        <v>0</v>
      </c>
      <c r="O18" s="16" t="n">
        <f aca="false">IF(OR(N(I18)=0,N(D18)=0),0,I18/D18)</f>
        <v>0</v>
      </c>
      <c r="P18" s="18" t="str">
        <f aca="false">IF(N(D18)=0,"",IF(OR(B18="Anchor",B18="Junior anchor"),"Anchor","Shop"))</f>
        <v>Shop</v>
      </c>
    </row>
    <row r="19" customFormat="false" ht="15" hidden="false" customHeight="false" outlineLevel="0" collapsed="false">
      <c r="A19" s="7" t="s">
        <v>86</v>
      </c>
      <c r="B19" s="7" t="s">
        <v>72</v>
      </c>
      <c r="C19" s="7"/>
      <c r="D19" s="15" t="n">
        <v>2000</v>
      </c>
      <c r="E19" s="11" t="n">
        <v>22</v>
      </c>
      <c r="F19" s="7"/>
      <c r="G19" s="9"/>
      <c r="H19" s="7"/>
      <c r="I19" s="8"/>
      <c r="J19" s="16" t="n">
        <f aca="false">N(D19)*N(E19)</f>
        <v>44000</v>
      </c>
      <c r="K19" s="17" t="n">
        <f aca="false">IF(OR(N(D19)=0,'Rent Roll'!$D$26=0),0,D19/'Rent Roll'!$D$26)</f>
        <v>0.023121387283237</v>
      </c>
      <c r="L19" s="16" t="n">
        <f aca="false">IF(OR(A19="Vacant",N(D19)=0),0,K19*IF(F19="NNN",(Inputs!$B$12+Inputs!$B$13+Inputs!$B$14*(1+Inputs!$B$15)),IF(F19="Modified gross",(Inputs!$B$12+Inputs!$B$13),0)))</f>
        <v>0</v>
      </c>
      <c r="M19" s="16" t="n">
        <f aca="false">IF(A19="Vacant",0,J19+L19)</f>
        <v>0</v>
      </c>
      <c r="N19" s="17" t="n">
        <f aca="false">IF(N(I19)=0,0,M19/I19)</f>
        <v>0</v>
      </c>
      <c r="O19" s="16" t="n">
        <f aca="false">IF(OR(N(I19)=0,N(D19)=0),0,I19/D19)</f>
        <v>0</v>
      </c>
      <c r="P19" s="18" t="str">
        <f aca="false">IF(N(D19)=0,"",IF(OR(B19="Anchor",B19="Junior anchor"),"Anchor","Shop"))</f>
        <v>Shop</v>
      </c>
    </row>
    <row r="20" customFormat="false" ht="15" hidden="false" customHeight="false" outlineLevel="0" collapsed="false">
      <c r="A20" s="7"/>
      <c r="B20" s="7"/>
      <c r="C20" s="7"/>
      <c r="D20" s="15"/>
      <c r="E20" s="11"/>
      <c r="F20" s="7"/>
      <c r="G20" s="9"/>
      <c r="H20" s="7"/>
      <c r="I20" s="8"/>
      <c r="J20" s="16" t="n">
        <f aca="false">N(D20)*N(E20)</f>
        <v>0</v>
      </c>
      <c r="K20" s="17" t="n">
        <f aca="false">IF(OR(N(D20)=0,'Rent Roll'!$D$26=0),0,D20/'Rent Roll'!$D$26)</f>
        <v>0</v>
      </c>
      <c r="L20" s="16" t="n">
        <f aca="false">IF(OR(A20="Vacant",N(D20)=0),0,K20*IF(F20="NNN",(Inputs!$B$12+Inputs!$B$13+Inputs!$B$14*(1+Inputs!$B$15)),IF(F20="Modified gross",(Inputs!$B$12+Inputs!$B$13),0)))</f>
        <v>0</v>
      </c>
      <c r="M20" s="16" t="n">
        <f aca="false">IF(A20="Vacant",0,J20+L20)</f>
        <v>0</v>
      </c>
      <c r="N20" s="17" t="n">
        <f aca="false">IF(N(I20)=0,0,M20/I20)</f>
        <v>0</v>
      </c>
      <c r="O20" s="16" t="n">
        <f aca="false">IF(OR(N(I20)=0,N(D20)=0),0,I20/D20)</f>
        <v>0</v>
      </c>
      <c r="P20" s="18" t="str">
        <f aca="false">IF(N(D20)=0,"",IF(OR(B20="Anchor",B20="Junior anchor"),"Anchor","Shop"))</f>
        <v/>
      </c>
    </row>
    <row r="21" customFormat="false" ht="15" hidden="false" customHeight="false" outlineLevel="0" collapsed="false">
      <c r="A21" s="7"/>
      <c r="B21" s="7"/>
      <c r="C21" s="7"/>
      <c r="D21" s="15"/>
      <c r="E21" s="11"/>
      <c r="F21" s="7"/>
      <c r="G21" s="9"/>
      <c r="H21" s="7"/>
      <c r="I21" s="8"/>
      <c r="J21" s="16" t="n">
        <f aca="false">N(D21)*N(E21)</f>
        <v>0</v>
      </c>
      <c r="K21" s="17" t="n">
        <f aca="false">IF(OR(N(D21)=0,'Rent Roll'!$D$26=0),0,D21/'Rent Roll'!$D$26)</f>
        <v>0</v>
      </c>
      <c r="L21" s="16" t="n">
        <f aca="false">IF(OR(A21="Vacant",N(D21)=0),0,K21*IF(F21="NNN",(Inputs!$B$12+Inputs!$B$13+Inputs!$B$14*(1+Inputs!$B$15)),IF(F21="Modified gross",(Inputs!$B$12+Inputs!$B$13),0)))</f>
        <v>0</v>
      </c>
      <c r="M21" s="16" t="n">
        <f aca="false">IF(A21="Vacant",0,J21+L21)</f>
        <v>0</v>
      </c>
      <c r="N21" s="17" t="n">
        <f aca="false">IF(N(I21)=0,0,M21/I21)</f>
        <v>0</v>
      </c>
      <c r="O21" s="16" t="n">
        <f aca="false">IF(OR(N(I21)=0,N(D21)=0),0,I21/D21)</f>
        <v>0</v>
      </c>
      <c r="P21" s="18" t="str">
        <f aca="false">IF(N(D21)=0,"",IF(OR(B21="Anchor",B21="Junior anchor"),"Anchor","Shop"))</f>
        <v/>
      </c>
    </row>
    <row r="22" customFormat="false" ht="15" hidden="false" customHeight="false" outlineLevel="0" collapsed="false">
      <c r="A22" s="7"/>
      <c r="B22" s="7"/>
      <c r="C22" s="7"/>
      <c r="D22" s="15"/>
      <c r="E22" s="11"/>
      <c r="F22" s="7"/>
      <c r="G22" s="9"/>
      <c r="H22" s="7"/>
      <c r="I22" s="8"/>
      <c r="J22" s="16" t="n">
        <f aca="false">N(D22)*N(E22)</f>
        <v>0</v>
      </c>
      <c r="K22" s="17" t="n">
        <f aca="false">IF(OR(N(D22)=0,'Rent Roll'!$D$26=0),0,D22/'Rent Roll'!$D$26)</f>
        <v>0</v>
      </c>
      <c r="L22" s="16" t="n">
        <f aca="false">IF(OR(A22="Vacant",N(D22)=0),0,K22*IF(F22="NNN",(Inputs!$B$12+Inputs!$B$13+Inputs!$B$14*(1+Inputs!$B$15)),IF(F22="Modified gross",(Inputs!$B$12+Inputs!$B$13),0)))</f>
        <v>0</v>
      </c>
      <c r="M22" s="16" t="n">
        <f aca="false">IF(A22="Vacant",0,J22+L22)</f>
        <v>0</v>
      </c>
      <c r="N22" s="17" t="n">
        <f aca="false">IF(N(I22)=0,0,M22/I22)</f>
        <v>0</v>
      </c>
      <c r="O22" s="16" t="n">
        <f aca="false">IF(OR(N(I22)=0,N(D22)=0),0,I22/D22)</f>
        <v>0</v>
      </c>
      <c r="P22" s="18" t="str">
        <f aca="false">IF(N(D22)=0,"",IF(OR(B22="Anchor",B22="Junior anchor"),"Anchor","Shop"))</f>
        <v/>
      </c>
    </row>
    <row r="23" customFormat="false" ht="15" hidden="false" customHeight="false" outlineLevel="0" collapsed="false">
      <c r="A23" s="7"/>
      <c r="B23" s="7"/>
      <c r="C23" s="7"/>
      <c r="D23" s="15"/>
      <c r="E23" s="11"/>
      <c r="F23" s="7"/>
      <c r="G23" s="9"/>
      <c r="H23" s="7"/>
      <c r="I23" s="8"/>
      <c r="J23" s="16" t="n">
        <f aca="false">N(D23)*N(E23)</f>
        <v>0</v>
      </c>
      <c r="K23" s="17" t="n">
        <f aca="false">IF(OR(N(D23)=0,'Rent Roll'!$D$26=0),0,D23/'Rent Roll'!$D$26)</f>
        <v>0</v>
      </c>
      <c r="L23" s="16" t="n">
        <f aca="false">IF(OR(A23="Vacant",N(D23)=0),0,K23*IF(F23="NNN",(Inputs!$B$12+Inputs!$B$13+Inputs!$B$14*(1+Inputs!$B$15)),IF(F23="Modified gross",(Inputs!$B$12+Inputs!$B$13),0)))</f>
        <v>0</v>
      </c>
      <c r="M23" s="16" t="n">
        <f aca="false">IF(A23="Vacant",0,J23+L23)</f>
        <v>0</v>
      </c>
      <c r="N23" s="17" t="n">
        <f aca="false">IF(N(I23)=0,0,M23/I23)</f>
        <v>0</v>
      </c>
      <c r="O23" s="16" t="n">
        <f aca="false">IF(OR(N(I23)=0,N(D23)=0),0,I23/D23)</f>
        <v>0</v>
      </c>
      <c r="P23" s="18" t="str">
        <f aca="false">IF(N(D23)=0,"",IF(OR(B23="Anchor",B23="Junior anchor"),"Anchor","Shop"))</f>
        <v/>
      </c>
    </row>
    <row r="24" customFormat="false" ht="15" hidden="false" customHeight="false" outlineLevel="0" collapsed="false">
      <c r="A24" s="7"/>
      <c r="B24" s="7"/>
      <c r="C24" s="7"/>
      <c r="D24" s="15"/>
      <c r="E24" s="11"/>
      <c r="F24" s="7"/>
      <c r="G24" s="9"/>
      <c r="H24" s="7"/>
      <c r="I24" s="8"/>
      <c r="J24" s="16" t="n">
        <f aca="false">N(D24)*N(E24)</f>
        <v>0</v>
      </c>
      <c r="K24" s="17" t="n">
        <f aca="false">IF(OR(N(D24)=0,'Rent Roll'!$D$26=0),0,D24/'Rent Roll'!$D$26)</f>
        <v>0</v>
      </c>
      <c r="L24" s="16" t="n">
        <f aca="false">IF(OR(A24="Vacant",N(D24)=0),0,K24*IF(F24="NNN",(Inputs!$B$12+Inputs!$B$13+Inputs!$B$14*(1+Inputs!$B$15)),IF(F24="Modified gross",(Inputs!$B$12+Inputs!$B$13),0)))</f>
        <v>0</v>
      </c>
      <c r="M24" s="16" t="n">
        <f aca="false">IF(A24="Vacant",0,J24+L24)</f>
        <v>0</v>
      </c>
      <c r="N24" s="17" t="n">
        <f aca="false">IF(N(I24)=0,0,M24/I24)</f>
        <v>0</v>
      </c>
      <c r="O24" s="16" t="n">
        <f aca="false">IF(OR(N(I24)=0,N(D24)=0),0,I24/D24)</f>
        <v>0</v>
      </c>
      <c r="P24" s="18" t="str">
        <f aca="false">IF(N(D24)=0,"",IF(OR(B24="Anchor",B24="Junior anchor"),"Anchor","Shop"))</f>
        <v/>
      </c>
    </row>
    <row r="25" customFormat="false" ht="15" hidden="false" customHeight="false" outlineLevel="0" collapsed="false">
      <c r="A25" s="7"/>
      <c r="B25" s="7"/>
      <c r="C25" s="7"/>
      <c r="D25" s="15"/>
      <c r="E25" s="11"/>
      <c r="F25" s="7"/>
      <c r="G25" s="9"/>
      <c r="H25" s="7"/>
      <c r="I25" s="8"/>
      <c r="J25" s="16" t="n">
        <f aca="false">N(D25)*N(E25)</f>
        <v>0</v>
      </c>
      <c r="K25" s="17" t="n">
        <f aca="false">IF(OR(N(D25)=0,'Rent Roll'!$D$26=0),0,D25/'Rent Roll'!$D$26)</f>
        <v>0</v>
      </c>
      <c r="L25" s="16" t="n">
        <f aca="false">IF(OR(A25="Vacant",N(D25)=0),0,K25*IF(F25="NNN",(Inputs!$B$12+Inputs!$B$13+Inputs!$B$14*(1+Inputs!$B$15)),IF(F25="Modified gross",(Inputs!$B$12+Inputs!$B$13),0)))</f>
        <v>0</v>
      </c>
      <c r="M25" s="16" t="n">
        <f aca="false">IF(A25="Vacant",0,J25+L25)</f>
        <v>0</v>
      </c>
      <c r="N25" s="17" t="n">
        <f aca="false">IF(N(I25)=0,0,M25/I25)</f>
        <v>0</v>
      </c>
      <c r="O25" s="16" t="n">
        <f aca="false">IF(OR(N(I25)=0,N(D25)=0),0,I25/D25)</f>
        <v>0</v>
      </c>
      <c r="P25" s="18" t="str">
        <f aca="false">IF(N(D25)=0,"",IF(OR(B25="Anchor",B25="Junior anchor"),"Anchor","Shop"))</f>
        <v/>
      </c>
    </row>
    <row r="26" customFormat="false" ht="15" hidden="false" customHeight="false" outlineLevel="0" collapsed="false">
      <c r="A26" s="6" t="s">
        <v>87</v>
      </c>
      <c r="B26" s="18"/>
      <c r="C26" s="18"/>
      <c r="D26" s="19" t="n">
        <f aca="false">SUM(D6:D25)</f>
        <v>86500</v>
      </c>
      <c r="E26" s="18"/>
      <c r="F26" s="18"/>
      <c r="G26" s="18"/>
      <c r="H26" s="18"/>
      <c r="I26" s="18"/>
      <c r="J26" s="20" t="n">
        <f aca="false">SUM(J6:J25)</f>
        <v>1337700</v>
      </c>
      <c r="K26" s="21" t="n">
        <f aca="false">SUM(K6:K25)</f>
        <v>1</v>
      </c>
      <c r="L26" s="20" t="n">
        <f aca="false">SUM(L6:L25)</f>
        <v>454291.329479769</v>
      </c>
      <c r="M26" s="22" t="n">
        <f aca="false">SUM(M6:M25)</f>
        <v>1687991.32947977</v>
      </c>
      <c r="N26" s="18"/>
      <c r="O26" s="18"/>
      <c r="P26" s="18"/>
    </row>
    <row r="28" customFormat="false" ht="15" hidden="false" customHeight="false" outlineLevel="0" collapsed="false">
      <c r="A28" s="3" t="s">
        <v>88</v>
      </c>
    </row>
    <row r="29" customFormat="false" ht="15" hidden="false" customHeight="false" outlineLevel="0" collapsed="false">
      <c r="A29" s="3" t="s">
        <v>89</v>
      </c>
    </row>
  </sheetData>
  <conditionalFormatting sqref="N6:N25">
    <cfRule type="expression" priority="2" aboveAverage="0" equalAverage="0" bottom="0" percent="0" rank="0" text="" dxfId="0">
      <formula>N6&gt;0.15</formula>
    </cfRule>
  </conditionalFormatting>
  <dataValidations count="4">
    <dataValidation allowBlank="true" errorStyle="stop" operator="between" showDropDown="false" showErrorMessage="false" showInputMessage="false" sqref="B6:B25" type="list">
      <formula1>"Anchor,Junior anchor,Inline,Pad"</formula1>
      <formula2>0</formula2>
    </dataValidation>
    <dataValidation allowBlank="true" errorStyle="stop" operator="between" showDropDown="false" showErrorMessage="false" showInputMessage="false" sqref="C6:C25" type="list">
      <formula1>"National,Regional,Local"</formula1>
      <formula2>0</formula2>
    </dataValidation>
    <dataValidation allowBlank="true" errorStyle="stop" operator="between" showDropDown="false" showErrorMessage="false" showInputMessage="false" sqref="F6:F25" type="list">
      <formula1>"NNN,Modified gross,Gross"</formula1>
      <formula2>0</formula2>
    </dataValidation>
    <dataValidation allowBlank="true" errorStyle="stop" operator="between" showDropDown="false" showErrorMessage="false" showInputMessage="false" sqref="H6:H25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22"/>
    <col collapsed="false" customWidth="true" hidden="false" outlineLevel="0" max="3" min="3" style="0" width="4"/>
    <col collapsed="false" customWidth="true" hidden="false" outlineLevel="0" max="4" min="4" style="0" width="42"/>
    <col collapsed="false" customWidth="true" hidden="false" outlineLevel="0" max="6" min="5" style="0" width="20"/>
    <col collapsed="false" customWidth="true" hidden="false" outlineLevel="0" max="7" min="7" style="0" width="4"/>
    <col collapsed="false" customWidth="true" hidden="false" outlineLevel="0" max="8" min="8" style="0" width="10"/>
  </cols>
  <sheetData>
    <row r="1" customFormat="false" ht="27.75" hidden="false" customHeight="true" outlineLevel="0" collapsed="false">
      <c r="A1" s="1" t="s">
        <v>90</v>
      </c>
      <c r="B1" s="2"/>
      <c r="C1" s="2"/>
      <c r="D1" s="2"/>
      <c r="E1" s="2"/>
      <c r="F1" s="2"/>
      <c r="G1" s="2"/>
      <c r="H1" s="2"/>
    </row>
    <row r="3" customFormat="false" ht="15" hidden="false" customHeight="false" outlineLevel="0" collapsed="false">
      <c r="A3" s="3" t="s">
        <v>91</v>
      </c>
    </row>
    <row r="5" customFormat="false" ht="15" hidden="false" customHeight="false" outlineLevel="0" collapsed="false">
      <c r="A5" s="4" t="s">
        <v>2</v>
      </c>
      <c r="B5" s="5"/>
      <c r="D5" s="4" t="s">
        <v>28</v>
      </c>
      <c r="E5" s="5"/>
      <c r="F5" s="5"/>
    </row>
    <row r="6" customFormat="false" ht="15" hidden="false" customHeight="false" outlineLevel="0" collapsed="false">
      <c r="A6" s="6" t="s">
        <v>92</v>
      </c>
      <c r="B6" s="18" t="str">
        <f aca="false">Inputs!$B$6</f>
        <v>Fictional Harper's Crossing</v>
      </c>
      <c r="D6" s="23"/>
      <c r="E6" s="24" t="s">
        <v>93</v>
      </c>
      <c r="F6" s="24" t="s">
        <v>94</v>
      </c>
    </row>
    <row r="7" customFormat="false" ht="15" hidden="false" customHeight="false" outlineLevel="0" collapsed="false">
      <c r="A7" s="6" t="s">
        <v>95</v>
      </c>
      <c r="B7" s="18" t="str">
        <f aca="false">Inputs!$B$7</f>
        <v>Chattanooga, TN</v>
      </c>
      <c r="D7" s="6" t="s">
        <v>96</v>
      </c>
      <c r="E7" s="20" t="n">
        <f aca="false">Underwriting!B27</f>
        <v>9102000</v>
      </c>
      <c r="F7" s="20" t="n">
        <f aca="false">Underwriting!C27</f>
        <v>10425000</v>
      </c>
    </row>
    <row r="8" customFormat="false" ht="15" hidden="false" customHeight="false" outlineLevel="0" collapsed="false">
      <c r="A8" s="6" t="s">
        <v>50</v>
      </c>
      <c r="B8" s="25" t="n">
        <f aca="false">'Rent Roll'!$D$26</f>
        <v>86500</v>
      </c>
      <c r="D8" s="6" t="s">
        <v>97</v>
      </c>
      <c r="E8" s="26" t="n">
        <f aca="false">Underwriting!B29</f>
        <v>65789.880770124</v>
      </c>
      <c r="F8" s="26" t="n">
        <f aca="false">Underwriting!C29</f>
        <v>62984.375</v>
      </c>
    </row>
    <row r="9" customFormat="false" ht="15" hidden="false" customHeight="false" outlineLevel="0" collapsed="false">
      <c r="A9" s="6" t="s">
        <v>98</v>
      </c>
      <c r="B9" s="22" t="n">
        <f aca="false">Inputs!$B$8</f>
        <v>13900000</v>
      </c>
      <c r="D9" s="6" t="s">
        <v>99</v>
      </c>
      <c r="E9" s="27" t="n">
        <f aca="false">Underwriting!B30</f>
        <v>1.25000194319762</v>
      </c>
      <c r="F9" s="27" t="n">
        <f aca="false">Underwriting!C30</f>
        <v>1.30568063595765</v>
      </c>
    </row>
    <row r="10" customFormat="false" ht="15" hidden="false" customHeight="false" outlineLevel="0" collapsed="false">
      <c r="A10" s="6" t="s">
        <v>100</v>
      </c>
      <c r="B10" s="21" t="n">
        <f aca="false">Underwriting!B36</f>
        <v>0.942196531791908</v>
      </c>
      <c r="D10" s="6" t="s">
        <v>101</v>
      </c>
      <c r="E10" s="28" t="n">
        <f aca="false">Underwriting!B31</f>
        <v>0.108421198161365</v>
      </c>
      <c r="F10" s="28" t="n">
        <f aca="false">Underwriting!C31</f>
        <v>0.0946618461069295</v>
      </c>
    </row>
    <row r="11" customFormat="false" ht="15" hidden="false" customHeight="false" outlineLevel="0" collapsed="false">
      <c r="A11" s="6" t="s">
        <v>102</v>
      </c>
      <c r="B11" s="22" t="n">
        <f aca="false">Underwriting!B19</f>
        <v>986849.74566474</v>
      </c>
      <c r="D11" s="6" t="s">
        <v>103</v>
      </c>
      <c r="E11" s="20" t="n">
        <f aca="false">Underwriting!B33</f>
        <v>2019960</v>
      </c>
      <c r="F11" s="20" t="n">
        <f aca="false">Underwriting!C33</f>
        <v>3316500</v>
      </c>
    </row>
    <row r="12" customFormat="false" ht="15" hidden="false" customHeight="false" outlineLevel="0" collapsed="false">
      <c r="A12" s="6" t="s">
        <v>104</v>
      </c>
      <c r="B12" s="21" t="n">
        <f aca="false">Underwriting!B37</f>
        <v>0.532544378698225</v>
      </c>
      <c r="D12" s="6" t="s">
        <v>105</v>
      </c>
      <c r="E12" s="29" t="n">
        <f aca="false">'Anchor Dark'!B19</f>
        <v>0.181203599381992</v>
      </c>
      <c r="F12" s="29" t="n">
        <f aca="false">'Anchor Dark'!C19</f>
        <v>0.18927493046424</v>
      </c>
    </row>
    <row r="13" customFormat="false" ht="15" hidden="false" customHeight="false" outlineLevel="0" collapsed="false">
      <c r="A13" s="6" t="s">
        <v>106</v>
      </c>
      <c r="B13" s="21" t="n">
        <f aca="false">Underwriting!B38</f>
        <v>0.663046121423361</v>
      </c>
    </row>
    <row r="14" customFormat="false" ht="15" hidden="false" customHeight="false" outlineLevel="0" collapsed="false">
      <c r="A14" s="6" t="s">
        <v>107</v>
      </c>
      <c r="B14" s="30" t="n">
        <f aca="false">Underwriting!B39</f>
        <v>6.91164788846559</v>
      </c>
      <c r="D14" s="6" t="s">
        <v>108</v>
      </c>
      <c r="E14" s="21" t="n">
        <f aca="false">Underwriting!B40</f>
        <v>0.502310124017184</v>
      </c>
    </row>
    <row r="15" customFormat="false" ht="15" hidden="false" customHeight="false" outlineLevel="0" collapsed="false">
      <c r="A15" s="6" t="s">
        <v>109</v>
      </c>
      <c r="B15" s="21" t="n">
        <f aca="false">Underwriting!B41</f>
        <v>0.92712516220361</v>
      </c>
      <c r="D15" s="6" t="s">
        <v>110</v>
      </c>
      <c r="E15" s="22" t="n">
        <f aca="false">Underwriting!B42</f>
        <v>35708.6705202312</v>
      </c>
    </row>
    <row r="17" customFormat="false" ht="15" hidden="false" customHeight="false" outlineLevel="0" collapsed="false">
      <c r="A17" s="4" t="s">
        <v>111</v>
      </c>
      <c r="B17" s="5"/>
    </row>
    <row r="18" customFormat="false" ht="15" hidden="false" customHeight="false" outlineLevel="0" collapsed="false">
      <c r="A18" s="31" t="s">
        <v>102</v>
      </c>
      <c r="B18" s="32" t="n">
        <f aca="false">Underwriting!B19</f>
        <v>986849.74566474</v>
      </c>
    </row>
    <row r="19" customFormat="false" ht="15" hidden="false" customHeight="false" outlineLevel="0" collapsed="false">
      <c r="A19" s="31" t="s">
        <v>112</v>
      </c>
      <c r="B19" s="32" t="n">
        <f aca="false">'Anchor Dark'!B11</f>
        <v>143056.358381503</v>
      </c>
    </row>
    <row r="20" customFormat="false" ht="15" hidden="false" customHeight="false" outlineLevel="0" collapsed="false">
      <c r="A20" s="31" t="s">
        <v>113</v>
      </c>
      <c r="B20" s="32" t="n">
        <f aca="false">Underwriting!B29*12</f>
        <v>789478.569241488</v>
      </c>
    </row>
    <row r="21" customFormat="false" ht="15" hidden="false" customHeight="false" outlineLevel="0" collapsed="false">
      <c r="A21" s="31" t="s">
        <v>114</v>
      </c>
      <c r="B21" s="32" t="n">
        <f aca="false">Underwriting!C29*12</f>
        <v>755812.5</v>
      </c>
    </row>
    <row r="34" customFormat="false" ht="15" hidden="false" customHeight="false" outlineLevel="0" collapsed="false">
      <c r="A34" s="3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20"/>
    <col collapsed="false" customWidth="true" hidden="false" outlineLevel="0" max="5" min="5" style="0" width="50"/>
  </cols>
  <sheetData>
    <row r="1" customFormat="false" ht="27.75" hidden="false" customHeight="true" outlineLevel="0" collapsed="false">
      <c r="A1" s="1" t="s">
        <v>18</v>
      </c>
      <c r="B1" s="2"/>
      <c r="C1" s="2"/>
      <c r="D1" s="2"/>
      <c r="E1" s="2"/>
    </row>
    <row r="3" customFormat="false" ht="15" hidden="false" customHeight="false" outlineLevel="0" collapsed="false">
      <c r="A3" s="3" t="s">
        <v>115</v>
      </c>
    </row>
    <row r="5" customFormat="false" ht="15" hidden="false" customHeight="false" outlineLevel="0" collapsed="false">
      <c r="A5" s="4" t="s">
        <v>102</v>
      </c>
      <c r="B5" s="5"/>
    </row>
    <row r="6" customFormat="false" ht="15" hidden="false" customHeight="false" outlineLevel="0" collapsed="false">
      <c r="A6" s="6" t="s">
        <v>116</v>
      </c>
      <c r="B6" s="22" t="n">
        <f aca="false">SUM('Rent Roll'!$J$6:$J$25)</f>
        <v>1337700</v>
      </c>
    </row>
    <row r="7" customFormat="false" ht="15" hidden="false" customHeight="false" outlineLevel="0" collapsed="false">
      <c r="A7" s="6" t="s">
        <v>117</v>
      </c>
      <c r="B7" s="22" t="n">
        <f aca="false">SUM('Rent Roll'!$L$6:$L$25)</f>
        <v>454291.329479769</v>
      </c>
    </row>
    <row r="8" customFormat="false" ht="15" hidden="false" customHeight="false" outlineLevel="0" collapsed="false">
      <c r="A8" s="6" t="s">
        <v>118</v>
      </c>
      <c r="B8" s="22" t="n">
        <f aca="false">B6+B7</f>
        <v>1791991.32947977</v>
      </c>
    </row>
    <row r="9" customFormat="false" ht="15" hidden="false" customHeight="false" outlineLevel="0" collapsed="false">
      <c r="A9" s="6" t="s">
        <v>119</v>
      </c>
      <c r="B9" s="22" t="n">
        <f aca="false">MAX(SUMIFS('Rent Roll'!$J$6:$J$25,'Rent Roll'!$P$6:$P$25,"Anchor",'Rent Roll'!$A$6:$A$25,"Vacant"),Inputs!$B$19*(SUMIF('Rent Roll'!$P$6:$P$25,"Anchor",'Rent Roll'!$J$6:$J$25)+SUMIF('Rent Roll'!$P$6:$P$25,"Anchor",'Rent Roll'!$L$6:$L$25)))</f>
        <v>29762.4277456647</v>
      </c>
      <c r="E9" s="3" t="s">
        <v>120</v>
      </c>
    </row>
    <row r="10" customFormat="false" ht="15" hidden="false" customHeight="false" outlineLevel="0" collapsed="false">
      <c r="A10" s="6" t="s">
        <v>121</v>
      </c>
      <c r="B10" s="22" t="n">
        <f aca="false">MAX(SUMIFS('Rent Roll'!$J$6:$J$25,'Rent Roll'!$P$6:$P$25,"Shop",'Rent Roll'!$A$6:$A$25,"Vacant"),Inputs!$B$20*(SUMIF('Rent Roll'!$P$6:$P$25,"Shop",'Rent Roll'!$J$6:$J$25)+SUMIF('Rent Roll'!$P$6:$P$25,"Shop",'Rent Roll'!$L$6:$L$25)))</f>
        <v>104000</v>
      </c>
      <c r="E10" s="3" t="s">
        <v>120</v>
      </c>
    </row>
    <row r="11" customFormat="false" ht="15" hidden="false" customHeight="false" outlineLevel="0" collapsed="false">
      <c r="A11" s="6" t="s">
        <v>122</v>
      </c>
      <c r="B11" s="22" t="n">
        <f aca="false">B8-B9-B10</f>
        <v>1658228.9017341</v>
      </c>
    </row>
    <row r="12" customFormat="false" ht="15" hidden="false" customHeight="false" outlineLevel="0" collapsed="false">
      <c r="A12" s="6" t="s">
        <v>10</v>
      </c>
      <c r="B12" s="22" t="n">
        <f aca="false">Inputs!$B$12</f>
        <v>210000</v>
      </c>
    </row>
    <row r="13" customFormat="false" ht="15" hidden="false" customHeight="false" outlineLevel="0" collapsed="false">
      <c r="A13" s="6" t="s">
        <v>11</v>
      </c>
      <c r="B13" s="22" t="n">
        <f aca="false">Inputs!$B$13</f>
        <v>95000</v>
      </c>
    </row>
    <row r="14" customFormat="false" ht="15" hidden="false" customHeight="false" outlineLevel="0" collapsed="false">
      <c r="A14" s="6" t="s">
        <v>12</v>
      </c>
      <c r="B14" s="22" t="n">
        <f aca="false">Inputs!$B$14</f>
        <v>185000</v>
      </c>
    </row>
    <row r="15" customFormat="false" ht="15" hidden="false" customHeight="false" outlineLevel="0" collapsed="false">
      <c r="A15" s="6" t="s">
        <v>16</v>
      </c>
      <c r="B15" s="22" t="n">
        <f aca="false">Inputs!$B$16</f>
        <v>25000</v>
      </c>
    </row>
    <row r="16" customFormat="false" ht="15" hidden="false" customHeight="false" outlineLevel="0" collapsed="false">
      <c r="A16" s="6" t="s">
        <v>123</v>
      </c>
      <c r="B16" s="22" t="n">
        <f aca="false">B11*Inputs!$B$21</f>
        <v>66329.1560693642</v>
      </c>
    </row>
    <row r="17" customFormat="false" ht="15" hidden="false" customHeight="false" outlineLevel="0" collapsed="false">
      <c r="A17" s="6" t="s">
        <v>124</v>
      </c>
      <c r="B17" s="22" t="n">
        <f aca="false">Inputs!$B$22*'Rent Roll'!$D$26</f>
        <v>17300</v>
      </c>
    </row>
    <row r="18" customFormat="false" ht="15" hidden="false" customHeight="false" outlineLevel="0" collapsed="false">
      <c r="A18" s="6" t="s">
        <v>125</v>
      </c>
      <c r="B18" s="22" t="n">
        <f aca="false">Inputs!$B$23*SUMIF('Rent Roll'!$P$6:$P$25,"Anchor",'Rent Roll'!$D$6:$D$25)+Inputs!$B$24*SUMIF('Rent Roll'!$P$6:$P$25,"Shop",'Rent Roll'!$D$6:$D$25)</f>
        <v>72750</v>
      </c>
    </row>
    <row r="19" customFormat="false" ht="15" hidden="false" customHeight="false" outlineLevel="0" collapsed="false">
      <c r="A19" s="6" t="s">
        <v>102</v>
      </c>
      <c r="B19" s="20" t="n">
        <f aca="false">B11-SUM(B12:B18)</f>
        <v>986849.74566474</v>
      </c>
    </row>
    <row r="20" customFormat="false" ht="15" hidden="false" customHeight="false" outlineLevel="0" collapsed="false">
      <c r="A20" s="6" t="s">
        <v>126</v>
      </c>
      <c r="B20" s="28" t="n">
        <f aca="false">IF(Inputs!$B$8=0,0,B19/Inputs!$B$8)</f>
        <v>0.0709963845801971</v>
      </c>
    </row>
    <row r="21" customFormat="false" ht="15" hidden="false" customHeight="false" outlineLevel="0" collapsed="false">
      <c r="A21" s="6" t="s">
        <v>127</v>
      </c>
      <c r="B21" s="22" t="n">
        <f aca="false">B19/Inputs!$B$30</f>
        <v>789479.796531792</v>
      </c>
      <c r="E21" s="3" t="s">
        <v>128</v>
      </c>
    </row>
    <row r="23" customFormat="false" ht="15" hidden="false" customHeight="false" outlineLevel="0" collapsed="false">
      <c r="A23" s="4" t="s">
        <v>129</v>
      </c>
      <c r="B23" s="5"/>
      <c r="C23" s="5"/>
      <c r="D23" s="5"/>
    </row>
    <row r="24" customFormat="false" ht="15" hidden="false" customHeight="false" outlineLevel="0" collapsed="false">
      <c r="A24" s="23"/>
      <c r="B24" s="24" t="s">
        <v>93</v>
      </c>
      <c r="C24" s="24" t="s">
        <v>94</v>
      </c>
      <c r="D24" s="24" t="s">
        <v>130</v>
      </c>
    </row>
    <row r="25" customFormat="false" ht="15" hidden="false" customHeight="false" outlineLevel="0" collapsed="false">
      <c r="A25" s="6" t="s">
        <v>131</v>
      </c>
      <c r="B25" s="22" t="n">
        <f aca="false">ROUNDDOWN(PV(Inputs!$B$27/12,Inputs!$B$28*12,-$B$21/12),-3)</f>
        <v>9102000</v>
      </c>
      <c r="C25" s="22" t="n">
        <f aca="false">IF(Inputs!$B$27&lt;=0,0,ROUNDDOWN($B$21/Inputs!$B$27,-3))</f>
        <v>10889000</v>
      </c>
      <c r="D25" s="22" t="n">
        <f aca="false">C25-B25</f>
        <v>1787000</v>
      </c>
    </row>
    <row r="26" customFormat="false" ht="15" hidden="false" customHeight="false" outlineLevel="0" collapsed="false">
      <c r="A26" s="6" t="s">
        <v>132</v>
      </c>
      <c r="B26" s="22" t="n">
        <f aca="false">ROUNDDOWN(Inputs!$B$8*Inputs!$B$31,-3)</f>
        <v>10425000</v>
      </c>
      <c r="C26" s="22" t="n">
        <f aca="false">ROUNDDOWN(Inputs!$B$8*Inputs!$B$31,-3)</f>
        <v>10425000</v>
      </c>
      <c r="D26" s="22" t="n">
        <f aca="false">C26-B26</f>
        <v>0</v>
      </c>
    </row>
    <row r="27" customFormat="false" ht="15" hidden="false" customHeight="false" outlineLevel="0" collapsed="false">
      <c r="A27" s="6" t="s">
        <v>96</v>
      </c>
      <c r="B27" s="20" t="n">
        <f aca="false">MIN(B25,B26)</f>
        <v>9102000</v>
      </c>
      <c r="C27" s="20" t="n">
        <f aca="false">MIN(C25,C26)</f>
        <v>10425000</v>
      </c>
      <c r="D27" s="20" t="n">
        <f aca="false">C27-B27</f>
        <v>1323000</v>
      </c>
      <c r="E27" s="3" t="s">
        <v>133</v>
      </c>
    </row>
    <row r="28" customFormat="false" ht="15" hidden="false" customHeight="false" outlineLevel="0" collapsed="false">
      <c r="A28" s="6" t="s">
        <v>134</v>
      </c>
      <c r="B28" s="33" t="str">
        <f aca="false">IF(B25&lt;B26,"Income","Value")</f>
        <v>Income</v>
      </c>
      <c r="C28" s="33" t="str">
        <f aca="false">IF(C25&lt;C26,"Income","Value")</f>
        <v>Value</v>
      </c>
      <c r="D28" s="18"/>
    </row>
    <row r="29" customFormat="false" ht="15" hidden="false" customHeight="false" outlineLevel="0" collapsed="false">
      <c r="A29" s="6" t="s">
        <v>97</v>
      </c>
      <c r="B29" s="26" t="n">
        <f aca="false">PMT(Inputs!$B$27/12,Inputs!$B$28*12,-B27)</f>
        <v>65789.880770124</v>
      </c>
      <c r="C29" s="26" t="n">
        <f aca="false">C27*Inputs!$B$27/12</f>
        <v>62984.375</v>
      </c>
      <c r="D29" s="26" t="n">
        <f aca="false">C29-B29</f>
        <v>-2805.50577012403</v>
      </c>
    </row>
    <row r="30" customFormat="false" ht="15" hidden="false" customHeight="false" outlineLevel="0" collapsed="false">
      <c r="A30" s="6" t="s">
        <v>99</v>
      </c>
      <c r="B30" s="27" t="n">
        <f aca="false">IF(B29=0,0,$B$19/(B29*12))</f>
        <v>1.25000194319762</v>
      </c>
      <c r="C30" s="27" t="n">
        <f aca="false">IF(C29=0,0,$B$19/(C29*12))</f>
        <v>1.30568063595765</v>
      </c>
      <c r="D30" s="27" t="n">
        <f aca="false">C30-B30</f>
        <v>0.0556786927600248</v>
      </c>
    </row>
    <row r="31" customFormat="false" ht="15" hidden="false" customHeight="false" outlineLevel="0" collapsed="false">
      <c r="A31" s="6" t="s">
        <v>101</v>
      </c>
      <c r="B31" s="28" t="n">
        <f aca="false">IF(B27=0,0,$B$19/B27)</f>
        <v>0.108421198161365</v>
      </c>
      <c r="C31" s="28" t="n">
        <f aca="false">IF(C27=0,0,$B$19/C27)</f>
        <v>0.0946618461069295</v>
      </c>
      <c r="D31" s="28" t="n">
        <f aca="false">C31-B31</f>
        <v>-0.013759352054435</v>
      </c>
      <c r="E31" s="3" t="s">
        <v>135</v>
      </c>
    </row>
    <row r="32" customFormat="false" ht="15" hidden="false" customHeight="false" outlineLevel="0" collapsed="false">
      <c r="A32" s="6" t="s">
        <v>136</v>
      </c>
      <c r="B32" s="22" t="n">
        <f aca="false">$B$19-B29*12</f>
        <v>197371.176423252</v>
      </c>
      <c r="C32" s="22" t="n">
        <f aca="false">$B$19-C29*12</f>
        <v>231037.24566474</v>
      </c>
      <c r="D32" s="22" t="n">
        <f aca="false">C32-B32</f>
        <v>33666.0692414884</v>
      </c>
    </row>
    <row r="33" customFormat="false" ht="15" hidden="false" customHeight="false" outlineLevel="0" collapsed="false">
      <c r="A33" s="6" t="s">
        <v>103</v>
      </c>
      <c r="B33" s="20" t="n">
        <f aca="false">B27-Inputs!$B$32-B27*Inputs!$B$33</f>
        <v>2019960</v>
      </c>
      <c r="C33" s="20" t="n">
        <f aca="false">C27-Inputs!$B$32-C27*Inputs!$B$33</f>
        <v>3316500</v>
      </c>
      <c r="D33" s="20" t="n">
        <f aca="false">C33-B33</f>
        <v>1296540</v>
      </c>
      <c r="E33" s="3" t="s">
        <v>137</v>
      </c>
    </row>
    <row r="35" customFormat="false" ht="15" hidden="false" customHeight="false" outlineLevel="0" collapsed="false">
      <c r="A35" s="4" t="s">
        <v>138</v>
      </c>
      <c r="B35" s="5"/>
    </row>
    <row r="36" customFormat="false" ht="15" hidden="false" customHeight="false" outlineLevel="0" collapsed="false">
      <c r="A36" s="6" t="s">
        <v>139</v>
      </c>
      <c r="B36" s="21" t="n">
        <f aca="false">IF('Rent Roll'!$D$26=0,0,1-SUMIF('Rent Roll'!$A$6:$A$25,"Vacant",'Rent Roll'!$D$6:$D$25)/'Rent Roll'!$D$26)</f>
        <v>0.942196531791908</v>
      </c>
    </row>
    <row r="37" customFormat="false" ht="15" hidden="false" customHeight="false" outlineLevel="0" collapsed="false">
      <c r="A37" s="6" t="s">
        <v>104</v>
      </c>
      <c r="B37" s="21" t="n">
        <f aca="false">IF((SUM('Rent Roll'!$J$6:$J$25)-SUMIF('Rent Roll'!$A$6:$A$25,"Vacant",'Rent Roll'!$J$6:$J$25))=0,0,SUMIFS('Rent Roll'!$J$6:$J$25,'Rent Roll'!$P$6:$P$25,"Anchor",'Rent Roll'!$A$6:$A$25,"&lt;&gt;Vacant")/(SUM('Rent Roll'!$J$6:$J$25)-SUMIF('Rent Roll'!$A$6:$A$25,"Vacant",'Rent Roll'!$J$6:$J$25)))</f>
        <v>0.532544378698225</v>
      </c>
    </row>
    <row r="38" customFormat="false" ht="15" hidden="false" customHeight="false" outlineLevel="0" collapsed="false">
      <c r="A38" s="6" t="s">
        <v>140</v>
      </c>
      <c r="B38" s="21" t="n">
        <f aca="false">IF((SUM('Rent Roll'!$J$6:$J$25)-SUMIF('Rent Roll'!$A$6:$A$25,"Vacant",'Rent Roll'!$J$6:$J$25))=0,0,SUMIFS('Rent Roll'!$J$6:$J$25,'Rent Roll'!$C$6:$C$25,"National",'Rent Roll'!$A$6:$A$25,"&lt;&gt;Vacant")/(SUM('Rent Roll'!$J$6:$J$25)-SUMIF('Rent Roll'!$A$6:$A$25,"Vacant",'Rent Roll'!$J$6:$J$25)))</f>
        <v>0.663046121423361</v>
      </c>
    </row>
    <row r="39" customFormat="false" ht="15" hidden="false" customHeight="false" outlineLevel="0" collapsed="false">
      <c r="A39" s="6" t="s">
        <v>141</v>
      </c>
      <c r="B39" s="34" t="n">
        <f aca="false">IF((SUM('Rent Roll'!$J$6:$J$25)-SUMIF('Rent Roll'!$A$6:$A$25,"Vacant",'Rent Roll'!$J$6:$J$25))=0,0,SUMPRODUCT(('Rent Roll'!$A$6:$A$25&lt;&gt;"Vacant")*('Rent Roll'!$G$6:$G$25&gt;Inputs!$B$9)*('Rent Roll'!$G$6:$G$25-Inputs!$B$9),'Rent Roll'!$J$6:$J$25)/(SUM('Rent Roll'!$J$6:$J$25)-SUMIF('Rent Roll'!$A$6:$A$25,"Vacant",'Rent Roll'!$J$6:$J$25)))</f>
        <v>6.91164788846559</v>
      </c>
      <c r="E39" s="3" t="s">
        <v>142</v>
      </c>
    </row>
    <row r="40" customFormat="false" ht="15" hidden="false" customHeight="false" outlineLevel="0" collapsed="false">
      <c r="A40" s="6" t="s">
        <v>143</v>
      </c>
      <c r="B40" s="21" t="n">
        <f aca="false">IF((SUM('Rent Roll'!$J$6:$J$25)-SUMIF('Rent Roll'!$A$6:$A$25,"Vacant",'Rent Roll'!$J$6:$J$25))=0,0,SUMPRODUCT(('Rent Roll'!$A$6:$A$25&lt;&gt;"Vacant")*('Rent Roll'!$G$6:$G$25&gt;Inputs!$B$9)*('Rent Roll'!$G$6:$G$25&lt;=Inputs!$B$9+Inputs!$B$29),'Rent Roll'!$J$6:$J$25)/(SUM('Rent Roll'!$J$6:$J$25)-SUMIF('Rent Roll'!$A$6:$A$25,"Vacant",'Rent Roll'!$J$6:$J$25)))</f>
        <v>0.502310124017184</v>
      </c>
    </row>
    <row r="41" customFormat="false" ht="15" hidden="false" customHeight="false" outlineLevel="0" collapsed="false">
      <c r="A41" s="6" t="s">
        <v>109</v>
      </c>
      <c r="B41" s="21" t="n">
        <f aca="false">IF((Inputs!$B$12+Inputs!$B$13+Inputs!$B$14)=0,0,B7/(Inputs!$B$12+Inputs!$B$13+Inputs!$B$14))</f>
        <v>0.92712516220361</v>
      </c>
      <c r="E41" s="3" t="s">
        <v>144</v>
      </c>
    </row>
    <row r="42" customFormat="false" ht="15" hidden="false" customHeight="false" outlineLevel="0" collapsed="false">
      <c r="A42" s="6" t="s">
        <v>145</v>
      </c>
      <c r="B42" s="22" t="n">
        <f aca="false">MAX(0,Inputs!$B$12+Inputs!$B$13+Inputs!$B$14-B7)</f>
        <v>35708.6705202312</v>
      </c>
      <c r="E42" s="3" t="s">
        <v>146</v>
      </c>
    </row>
    <row r="43" customFormat="false" ht="15" hidden="false" customHeight="false" outlineLevel="0" collapsed="false">
      <c r="A43" s="6" t="s">
        <v>147</v>
      </c>
      <c r="B43" s="35" t="n">
        <f aca="false">COUNTIF('Rent Roll'!$N$6:$N$25,"&gt;0.15")</f>
        <v>0</v>
      </c>
      <c r="E43" s="3" t="s">
        <v>148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20"/>
    <col collapsed="false" customWidth="true" hidden="false" outlineLevel="0" max="4" min="4" style="0" width="4"/>
    <col collapsed="false" customWidth="true" hidden="false" outlineLevel="0" max="5" min="5" style="0" width="50"/>
  </cols>
  <sheetData>
    <row r="1" customFormat="false" ht="27.75" hidden="false" customHeight="true" outlineLevel="0" collapsed="false">
      <c r="A1" s="1" t="s">
        <v>149</v>
      </c>
      <c r="B1" s="2"/>
      <c r="C1" s="2"/>
      <c r="D1" s="2"/>
      <c r="E1" s="2"/>
    </row>
    <row r="3" customFormat="false" ht="15" hidden="false" customHeight="false" outlineLevel="0" collapsed="false">
      <c r="A3" s="3" t="s">
        <v>150</v>
      </c>
    </row>
    <row r="5" customFormat="false" ht="15" hidden="false" customHeight="false" outlineLevel="0" collapsed="false">
      <c r="A5" s="4" t="s">
        <v>151</v>
      </c>
      <c r="B5" s="5"/>
    </row>
    <row r="6" customFormat="false" ht="15" hidden="false" customHeight="false" outlineLevel="0" collapsed="false">
      <c r="A6" s="6" t="s">
        <v>39</v>
      </c>
      <c r="B6" s="18" t="str">
        <f aca="false">Inputs!$B$36</f>
        <v>Grocery</v>
      </c>
    </row>
    <row r="7" customFormat="false" ht="15" hidden="false" customHeight="false" outlineLevel="0" collapsed="false">
      <c r="A7" s="6" t="s">
        <v>152</v>
      </c>
      <c r="B7" s="22" t="n">
        <f aca="false">SUMIF('Rent Roll'!$A$6:$A$25,Inputs!$B$36,'Rent Roll'!$J$6:$J$25)</f>
        <v>495000</v>
      </c>
    </row>
    <row r="8" customFormat="false" ht="15" hidden="false" customHeight="false" outlineLevel="0" collapsed="false">
      <c r="A8" s="6" t="s">
        <v>153</v>
      </c>
      <c r="B8" s="22" t="n">
        <f aca="false">SUMIF('Rent Roll'!$A$6:$A$25,Inputs!$B$36,'Rent Roll'!$L$6:$L$25)</f>
        <v>264537.572254335</v>
      </c>
      <c r="E8" s="3" t="s">
        <v>154</v>
      </c>
    </row>
    <row r="9" customFormat="false" ht="15" hidden="false" customHeight="false" outlineLevel="0" collapsed="false">
      <c r="A9" s="6" t="s">
        <v>155</v>
      </c>
      <c r="B9" s="22" t="n">
        <f aca="false">SUMPRODUCT(('Rent Roll'!$H$6:$H$25="Yes")*('Rent Roll'!$A$6:$A$25&lt;&gt;Inputs!$B$36)*('Rent Roll'!$A$6:$A$25&lt;&gt;"Vacant"),'Rent Roll'!$J$6:$J$25)*Inputs!$B$37</f>
        <v>158000</v>
      </c>
    </row>
    <row r="10" customFormat="false" ht="15" hidden="false" customHeight="false" outlineLevel="0" collapsed="false">
      <c r="A10" s="6" t="s">
        <v>156</v>
      </c>
      <c r="B10" s="22" t="n">
        <f aca="false">((B7+B8)*(1-IF(IFERROR(INDEX('Rent Roll'!$P$6:$P$25,MATCH(Inputs!$B$36,'Rent Roll'!$A$6:$A$25,0)),"Shop")="Anchor",Inputs!$B$19,Inputs!$B$20))+B9*(1-Inputs!$B$20))*(1-Inputs!$B$21)</f>
        <v>843793.387283237</v>
      </c>
    </row>
    <row r="11" customFormat="false" ht="15" hidden="false" customHeight="false" outlineLevel="0" collapsed="false">
      <c r="A11" s="6" t="s">
        <v>157</v>
      </c>
      <c r="B11" s="20" t="n">
        <f aca="false">Underwriting!$B$19-B10</f>
        <v>143056.358381503</v>
      </c>
    </row>
    <row r="12" customFormat="false" ht="15" hidden="false" customHeight="false" outlineLevel="0" collapsed="false">
      <c r="A12" s="3" t="str">
        <f aca="false">IF(SUMIF('Rent Roll'!$A$6:$A$25,Inputs!$B$36,'Rent Roll'!$J$6:$J$25)=0,"No tenant by that name on the Rent Roll. Check the spelling on the Inputs sheet.","")</f>
        <v/>
      </c>
    </row>
    <row r="14" customFormat="false" ht="15" hidden="false" customHeight="false" outlineLevel="0" collapsed="false">
      <c r="A14" s="4" t="s">
        <v>158</v>
      </c>
      <c r="B14" s="5"/>
      <c r="C14" s="5"/>
    </row>
    <row r="15" customFormat="false" ht="15" hidden="false" customHeight="false" outlineLevel="0" collapsed="false">
      <c r="A15" s="23"/>
      <c r="B15" s="24" t="s">
        <v>93</v>
      </c>
      <c r="C15" s="24" t="s">
        <v>94</v>
      </c>
    </row>
    <row r="16" customFormat="false" ht="15" hidden="false" customHeight="false" outlineLevel="0" collapsed="false">
      <c r="A16" s="6" t="s">
        <v>96</v>
      </c>
      <c r="B16" s="22" t="n">
        <f aca="false">Underwriting!B27</f>
        <v>9102000</v>
      </c>
      <c r="C16" s="22" t="n">
        <f aca="false">Underwriting!C27</f>
        <v>10425000</v>
      </c>
    </row>
    <row r="17" customFormat="false" ht="15" hidden="false" customHeight="false" outlineLevel="0" collapsed="false">
      <c r="A17" s="6" t="s">
        <v>159</v>
      </c>
      <c r="B17" s="22" t="n">
        <f aca="false">Underwriting!B29*12</f>
        <v>789478.569241488</v>
      </c>
      <c r="C17" s="22" t="n">
        <f aca="false">Underwriting!C29*12</f>
        <v>755812.5</v>
      </c>
    </row>
    <row r="18" customFormat="false" ht="15" hidden="false" customHeight="false" outlineLevel="0" collapsed="false">
      <c r="A18" s="6" t="s">
        <v>160</v>
      </c>
      <c r="B18" s="27" t="n">
        <f aca="false">Underwriting!B30</f>
        <v>1.25000194319762</v>
      </c>
      <c r="C18" s="27" t="n">
        <f aca="false">Underwriting!C30</f>
        <v>1.30568063595765</v>
      </c>
    </row>
    <row r="19" customFormat="false" ht="15" hidden="false" customHeight="false" outlineLevel="0" collapsed="false">
      <c r="A19" s="6" t="s">
        <v>161</v>
      </c>
      <c r="B19" s="29" t="n">
        <f aca="false">IF(B17=0,0,$B$11/B17)</f>
        <v>0.181203599381992</v>
      </c>
      <c r="C19" s="29" t="n">
        <f aca="false">IF(C17=0,0,$B$11/C17)</f>
        <v>0.18927493046424</v>
      </c>
    </row>
    <row r="20" customFormat="false" ht="15" hidden="false" customHeight="false" outlineLevel="0" collapsed="false">
      <c r="A20" s="6" t="s">
        <v>162</v>
      </c>
      <c r="B20" s="20" t="n">
        <f aca="false">$B$11-B17</f>
        <v>-646422.210859985</v>
      </c>
      <c r="C20" s="20" t="n">
        <f aca="false">$B$11-C17</f>
        <v>-612756.141618497</v>
      </c>
      <c r="E20" s="3" t="s">
        <v>163</v>
      </c>
    </row>
    <row r="22" customFormat="false" ht="15" hidden="false" customHeight="false" outlineLevel="0" collapsed="false">
      <c r="A22" s="3" t="s">
        <v>164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2026-11-01T18:16:17Z</dcterms:created>
  <dc:creator>openpyxl</dc:creator>
  <dc:description/>
  <dc:language>en-US</dc:language>
  <cp:lastModifiedBy/>
  <dcterms:modified xsi:type="dcterms:W3CDTF">2026-11-01T18:16:18Z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